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Tom\Christ the King Fellowship\Presbytery of Geneva\"/>
    </mc:Choice>
  </mc:AlternateContent>
  <xr:revisionPtr revIDLastSave="0" documentId="8_{96E0E6BA-3BC1-4984-B198-AF9AF45263A1}" xr6:coauthVersionLast="47" xr6:coauthVersionMax="47" xr10:uidLastSave="{00000000-0000-0000-0000-000000000000}"/>
  <bookViews>
    <workbookView xWindow="-120" yWindow="-120" windowWidth="29040" windowHeight="15720" activeTab="4" xr2:uid="{1DD9023C-2C2C-4226-B4D1-F4C20FF908CC}"/>
  </bookViews>
  <sheets>
    <sheet name="Summary Update" sheetId="1" r:id="rId1"/>
    <sheet name="Balance Sheet" sheetId="2" r:id="rId2"/>
    <sheet name="Mission and Operations" sheetId="3" r:id="rId3"/>
    <sheet name="Camp YTD" sheetId="4" r:id="rId4"/>
    <sheet name="Class Report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6" i="5" l="1"/>
  <c r="D157" i="5" s="1"/>
  <c r="E155" i="5"/>
  <c r="E156" i="5" s="1"/>
  <c r="E157" i="5" s="1"/>
  <c r="D155" i="5"/>
  <c r="B155" i="5"/>
  <c r="B156" i="5" s="1"/>
  <c r="F154" i="5"/>
  <c r="C154" i="5"/>
  <c r="C153" i="5"/>
  <c r="C155" i="5" s="1"/>
  <c r="C156" i="5" s="1"/>
  <c r="C157" i="5" s="1"/>
  <c r="F152" i="5"/>
  <c r="F151" i="5"/>
  <c r="E148" i="5"/>
  <c r="E149" i="5" s="1"/>
  <c r="E147" i="5"/>
  <c r="D147" i="5"/>
  <c r="C147" i="5"/>
  <c r="B147" i="5"/>
  <c r="B148" i="5" s="1"/>
  <c r="F146" i="5"/>
  <c r="C146" i="5"/>
  <c r="F145" i="5"/>
  <c r="F144" i="5"/>
  <c r="C144" i="5"/>
  <c r="C143" i="5"/>
  <c r="F143" i="5" s="1"/>
  <c r="F142" i="5"/>
  <c r="C142" i="5"/>
  <c r="E141" i="5"/>
  <c r="D141" i="5"/>
  <c r="D148" i="5" s="1"/>
  <c r="D149" i="5" s="1"/>
  <c r="B141" i="5"/>
  <c r="C140" i="5"/>
  <c r="C141" i="5" s="1"/>
  <c r="C148" i="5" s="1"/>
  <c r="C149" i="5" s="1"/>
  <c r="C158" i="5" s="1"/>
  <c r="F139" i="5"/>
  <c r="F138" i="5"/>
  <c r="D133" i="5"/>
  <c r="D132" i="5"/>
  <c r="D131" i="5"/>
  <c r="C131" i="5"/>
  <c r="C132" i="5" s="1"/>
  <c r="C133" i="5" s="1"/>
  <c r="B131" i="5"/>
  <c r="F131" i="5" s="1"/>
  <c r="F130" i="5"/>
  <c r="E130" i="5"/>
  <c r="E129" i="5"/>
  <c r="E131" i="5" s="1"/>
  <c r="E132" i="5" s="1"/>
  <c r="F128" i="5"/>
  <c r="E127" i="5"/>
  <c r="F127" i="5" s="1"/>
  <c r="F126" i="5"/>
  <c r="E126" i="5"/>
  <c r="F125" i="5"/>
  <c r="E124" i="5"/>
  <c r="E133" i="5" s="1"/>
  <c r="D124" i="5"/>
  <c r="C124" i="5"/>
  <c r="B124" i="5"/>
  <c r="F123" i="5"/>
  <c r="E123" i="5"/>
  <c r="E122" i="5"/>
  <c r="F122" i="5" s="1"/>
  <c r="F121" i="5"/>
  <c r="E121" i="5"/>
  <c r="E120" i="5"/>
  <c r="F120" i="5" s="1"/>
  <c r="F119" i="5"/>
  <c r="E119" i="5"/>
  <c r="E118" i="5"/>
  <c r="F118" i="5" s="1"/>
  <c r="F117" i="5"/>
  <c r="F116" i="5"/>
  <c r="E115" i="5"/>
  <c r="C115" i="5"/>
  <c r="B115" i="5"/>
  <c r="D114" i="5"/>
  <c r="F114" i="5" s="1"/>
  <c r="F113" i="5"/>
  <c r="E111" i="5"/>
  <c r="D111" i="5"/>
  <c r="C111" i="5"/>
  <c r="B111" i="5"/>
  <c r="F111" i="5" s="1"/>
  <c r="F110" i="5"/>
  <c r="E110" i="5"/>
  <c r="F109" i="5"/>
  <c r="E108" i="5"/>
  <c r="D108" i="5"/>
  <c r="C108" i="5"/>
  <c r="B108" i="5"/>
  <c r="F108" i="5" s="1"/>
  <c r="F107" i="5"/>
  <c r="E107" i="5"/>
  <c r="E106" i="5"/>
  <c r="F106" i="5" s="1"/>
  <c r="F105" i="5"/>
  <c r="E105" i="5"/>
  <c r="F104" i="5"/>
  <c r="E103" i="5"/>
  <c r="D103" i="5"/>
  <c r="C103" i="5"/>
  <c r="B103" i="5"/>
  <c r="F103" i="5" s="1"/>
  <c r="F102" i="5"/>
  <c r="E102" i="5"/>
  <c r="E101" i="5"/>
  <c r="F101" i="5" s="1"/>
  <c r="F100" i="5"/>
  <c r="C99" i="5"/>
  <c r="C112" i="5" s="1"/>
  <c r="B99" i="5"/>
  <c r="D98" i="5"/>
  <c r="D99" i="5" s="1"/>
  <c r="D112" i="5" s="1"/>
  <c r="C98" i="5"/>
  <c r="B98" i="5"/>
  <c r="E97" i="5"/>
  <c r="F97" i="5" s="1"/>
  <c r="F96" i="5"/>
  <c r="E96" i="5"/>
  <c r="E95" i="5"/>
  <c r="E98" i="5" s="1"/>
  <c r="E99" i="5" s="1"/>
  <c r="E112" i="5" s="1"/>
  <c r="F94" i="5"/>
  <c r="F93" i="5"/>
  <c r="F92" i="5"/>
  <c r="F91" i="5"/>
  <c r="D89" i="5"/>
  <c r="C89" i="5"/>
  <c r="E88" i="5"/>
  <c r="D88" i="5"/>
  <c r="C88" i="5"/>
  <c r="F87" i="5"/>
  <c r="B87" i="5"/>
  <c r="B88" i="5" s="1"/>
  <c r="F88" i="5" s="1"/>
  <c r="F86" i="5"/>
  <c r="E85" i="5"/>
  <c r="E89" i="5" s="1"/>
  <c r="D85" i="5"/>
  <c r="C85" i="5"/>
  <c r="F84" i="5"/>
  <c r="B84" i="5"/>
  <c r="B83" i="5"/>
  <c r="F83" i="5" s="1"/>
  <c r="F82" i="5"/>
  <c r="F81" i="5"/>
  <c r="E80" i="5"/>
  <c r="D80" i="5"/>
  <c r="B79" i="5"/>
  <c r="F79" i="5" s="1"/>
  <c r="F78" i="5"/>
  <c r="B78" i="5"/>
  <c r="B77" i="5"/>
  <c r="F77" i="5" s="1"/>
  <c r="E76" i="5"/>
  <c r="D76" i="5"/>
  <c r="C76" i="5"/>
  <c r="B76" i="5"/>
  <c r="F76" i="5" s="1"/>
  <c r="B75" i="5"/>
  <c r="F75" i="5" s="1"/>
  <c r="F74" i="5"/>
  <c r="E73" i="5"/>
  <c r="D73" i="5"/>
  <c r="C73" i="5"/>
  <c r="C80" i="5" s="1"/>
  <c r="C90" i="5" s="1"/>
  <c r="B73" i="5"/>
  <c r="F73" i="5" s="1"/>
  <c r="B72" i="5"/>
  <c r="F72" i="5" s="1"/>
  <c r="F71" i="5"/>
  <c r="F70" i="5"/>
  <c r="B70" i="5"/>
  <c r="B69" i="5"/>
  <c r="F69" i="5" s="1"/>
  <c r="F68" i="5"/>
  <c r="B68" i="5"/>
  <c r="B67" i="5"/>
  <c r="B80" i="5" s="1"/>
  <c r="F66" i="5"/>
  <c r="E65" i="5"/>
  <c r="D65" i="5"/>
  <c r="C65" i="5"/>
  <c r="B64" i="5"/>
  <c r="F64" i="5" s="1"/>
  <c r="F63" i="5"/>
  <c r="B63" i="5"/>
  <c r="B62" i="5"/>
  <c r="B65" i="5" s="1"/>
  <c r="F65" i="5" s="1"/>
  <c r="F61" i="5"/>
  <c r="D60" i="5"/>
  <c r="C60" i="5"/>
  <c r="E59" i="5"/>
  <c r="D59" i="5"/>
  <c r="C59" i="5"/>
  <c r="F58" i="5"/>
  <c r="B58" i="5"/>
  <c r="B59" i="5" s="1"/>
  <c r="F59" i="5" s="1"/>
  <c r="F57" i="5"/>
  <c r="E56" i="5"/>
  <c r="E60" i="5" s="1"/>
  <c r="D56" i="5"/>
  <c r="C56" i="5"/>
  <c r="F55" i="5"/>
  <c r="B55" i="5"/>
  <c r="B54" i="5"/>
  <c r="F54" i="5" s="1"/>
  <c r="F53" i="5"/>
  <c r="F52" i="5"/>
  <c r="E51" i="5"/>
  <c r="D51" i="5"/>
  <c r="D90" i="5" s="1"/>
  <c r="C51" i="5"/>
  <c r="B50" i="5"/>
  <c r="B51" i="5" s="1"/>
  <c r="F49" i="5"/>
  <c r="F48" i="5"/>
  <c r="F44" i="5"/>
  <c r="C44" i="5"/>
  <c r="C42" i="5"/>
  <c r="F41" i="5"/>
  <c r="B41" i="5"/>
  <c r="E40" i="5"/>
  <c r="E42" i="5" s="1"/>
  <c r="E43" i="5" s="1"/>
  <c r="D40" i="5"/>
  <c r="D42" i="5" s="1"/>
  <c r="C40" i="5"/>
  <c r="F39" i="5"/>
  <c r="B39" i="5"/>
  <c r="B38" i="5"/>
  <c r="F38" i="5" s="1"/>
  <c r="F37" i="5"/>
  <c r="B37" i="5"/>
  <c r="B36" i="5"/>
  <c r="F36" i="5" s="1"/>
  <c r="F35" i="5"/>
  <c r="B35" i="5"/>
  <c r="B34" i="5"/>
  <c r="F34" i="5" s="1"/>
  <c r="F33" i="5"/>
  <c r="F32" i="5"/>
  <c r="E31" i="5"/>
  <c r="D31" i="5"/>
  <c r="C31" i="5"/>
  <c r="C43" i="5" s="1"/>
  <c r="B30" i="5"/>
  <c r="F30" i="5" s="1"/>
  <c r="F29" i="5"/>
  <c r="B29" i="5"/>
  <c r="B28" i="5"/>
  <c r="F28" i="5" s="1"/>
  <c r="F27" i="5"/>
  <c r="B27" i="5"/>
  <c r="B31" i="5" s="1"/>
  <c r="F26" i="5"/>
  <c r="F25" i="5"/>
  <c r="D23" i="5"/>
  <c r="C23" i="5"/>
  <c r="E22" i="5"/>
  <c r="E23" i="5" s="1"/>
  <c r="D22" i="5"/>
  <c r="C22" i="5"/>
  <c r="B22" i="5"/>
  <c r="B23" i="5" s="1"/>
  <c r="F21" i="5"/>
  <c r="E21" i="5"/>
  <c r="E20" i="5"/>
  <c r="F20" i="5" s="1"/>
  <c r="F19" i="5"/>
  <c r="F18" i="5"/>
  <c r="D17" i="5"/>
  <c r="C17" i="5"/>
  <c r="D16" i="5"/>
  <c r="C16" i="5"/>
  <c r="B16" i="5"/>
  <c r="B17" i="5" s="1"/>
  <c r="E15" i="5"/>
  <c r="E16" i="5" s="1"/>
  <c r="E17" i="5" s="1"/>
  <c r="E14" i="5"/>
  <c r="F14" i="5" s="1"/>
  <c r="F13" i="5"/>
  <c r="F12" i="5"/>
  <c r="E11" i="5"/>
  <c r="D11" i="5"/>
  <c r="C11" i="5"/>
  <c r="C24" i="5" s="1"/>
  <c r="C45" i="5" s="1"/>
  <c r="C46" i="5" s="1"/>
  <c r="B11" i="5"/>
  <c r="D10" i="5"/>
  <c r="F10" i="5" s="1"/>
  <c r="F9" i="5"/>
  <c r="D9" i="5"/>
  <c r="F8" i="5"/>
  <c r="F7" i="5"/>
  <c r="C164" i="4"/>
  <c r="B164" i="4"/>
  <c r="C152" i="4"/>
  <c r="B152" i="4"/>
  <c r="C143" i="4"/>
  <c r="B143" i="4"/>
  <c r="C138" i="4"/>
  <c r="C165" i="4" s="1"/>
  <c r="B138" i="4"/>
  <c r="B165" i="4" s="1"/>
  <c r="C129" i="4"/>
  <c r="B129" i="4"/>
  <c r="C123" i="4"/>
  <c r="B123" i="4"/>
  <c r="C120" i="4"/>
  <c r="B120" i="4"/>
  <c r="C116" i="4"/>
  <c r="B116" i="4"/>
  <c r="C109" i="4"/>
  <c r="C103" i="4"/>
  <c r="B103" i="4"/>
  <c r="C102" i="4"/>
  <c r="C98" i="4"/>
  <c r="C133" i="4" s="1"/>
  <c r="B98" i="4"/>
  <c r="B133" i="4" s="1"/>
  <c r="C86" i="4"/>
  <c r="B86" i="4"/>
  <c r="C66" i="4"/>
  <c r="B66" i="4"/>
  <c r="C63" i="4"/>
  <c r="C73" i="4" s="1"/>
  <c r="B63" i="4"/>
  <c r="B73" i="4" s="1"/>
  <c r="C57" i="4"/>
  <c r="C166" i="4" s="1"/>
  <c r="C167" i="4" s="1"/>
  <c r="B57" i="4"/>
  <c r="B166" i="4" s="1"/>
  <c r="B167" i="4" s="1"/>
  <c r="C29" i="4"/>
  <c r="C33" i="4" s="1"/>
  <c r="C34" i="4" s="1"/>
  <c r="C35" i="4" s="1"/>
  <c r="C36" i="4" s="1"/>
  <c r="C25" i="4"/>
  <c r="B25" i="4"/>
  <c r="B33" i="4" s="1"/>
  <c r="C15" i="4"/>
  <c r="B13" i="4"/>
  <c r="B12" i="4"/>
  <c r="B11" i="4"/>
  <c r="B10" i="4"/>
  <c r="B15" i="4" s="1"/>
  <c r="B34" i="4" s="1"/>
  <c r="B35" i="4" s="1"/>
  <c r="B36" i="4" s="1"/>
  <c r="B168" i="4" s="1"/>
  <c r="B138" i="3"/>
  <c r="B137" i="3"/>
  <c r="B136" i="3"/>
  <c r="B135" i="3"/>
  <c r="B133" i="3"/>
  <c r="C123" i="3"/>
  <c r="B123" i="3"/>
  <c r="B119" i="3"/>
  <c r="B124" i="3" s="1"/>
  <c r="B125" i="3" s="1"/>
  <c r="C118" i="3"/>
  <c r="C119" i="3" s="1"/>
  <c r="C110" i="3"/>
  <c r="B105" i="3"/>
  <c r="C97" i="3"/>
  <c r="C95" i="3"/>
  <c r="C105" i="3" s="1"/>
  <c r="C85" i="3"/>
  <c r="B85" i="3"/>
  <c r="C84" i="3"/>
  <c r="C83" i="3"/>
  <c r="C82" i="3"/>
  <c r="C75" i="3"/>
  <c r="C86" i="3" s="1"/>
  <c r="B75" i="3"/>
  <c r="B86" i="3" s="1"/>
  <c r="C70" i="3"/>
  <c r="B70" i="3"/>
  <c r="C69" i="3"/>
  <c r="C62" i="3"/>
  <c r="B62" i="3"/>
  <c r="C54" i="3"/>
  <c r="B54" i="3"/>
  <c r="C47" i="3"/>
  <c r="C71" i="3" s="1"/>
  <c r="B47" i="3"/>
  <c r="B71" i="3" s="1"/>
  <c r="B126" i="3" s="1"/>
  <c r="B127" i="3" s="1"/>
  <c r="C46" i="3"/>
  <c r="B46" i="3"/>
  <c r="C24" i="3"/>
  <c r="B24" i="3"/>
  <c r="C19" i="3"/>
  <c r="C25" i="3" s="1"/>
  <c r="B19" i="3"/>
  <c r="B25" i="3" s="1"/>
  <c r="B15" i="3"/>
  <c r="C14" i="3"/>
  <c r="C15" i="3" s="1"/>
  <c r="B14" i="3"/>
  <c r="C10" i="3"/>
  <c r="B10" i="3"/>
  <c r="B28" i="3" s="1"/>
  <c r="B30" i="3" s="1"/>
  <c r="B151" i="2"/>
  <c r="C150" i="2"/>
  <c r="B150" i="2"/>
  <c r="C149" i="2"/>
  <c r="B148" i="2"/>
  <c r="C147" i="2"/>
  <c r="B147" i="2"/>
  <c r="B146" i="2"/>
  <c r="B149" i="2" s="1"/>
  <c r="B145" i="2"/>
  <c r="B142" i="2"/>
  <c r="B152" i="2" s="1"/>
  <c r="C141" i="2"/>
  <c r="B141" i="2"/>
  <c r="C140" i="2"/>
  <c r="C142" i="2" s="1"/>
  <c r="C152" i="2" s="1"/>
  <c r="B133" i="2"/>
  <c r="B132" i="2"/>
  <c r="B131" i="2"/>
  <c r="B130" i="2"/>
  <c r="C129" i="2"/>
  <c r="B129" i="2"/>
  <c r="B128" i="2"/>
  <c r="C127" i="2"/>
  <c r="B127" i="2"/>
  <c r="C126" i="2"/>
  <c r="B126" i="2"/>
  <c r="C125" i="2"/>
  <c r="B125" i="2"/>
  <c r="B124" i="2"/>
  <c r="C123" i="2"/>
  <c r="C134" i="2" s="1"/>
  <c r="B123" i="2"/>
  <c r="B134" i="2" s="1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C135" i="2" s="1"/>
  <c r="B113" i="2"/>
  <c r="C109" i="2"/>
  <c r="B109" i="2"/>
  <c r="C108" i="2"/>
  <c r="B108" i="2"/>
  <c r="C107" i="2"/>
  <c r="B107" i="2"/>
  <c r="C106" i="2"/>
  <c r="B106" i="2"/>
  <c r="C105" i="2"/>
  <c r="B105" i="2"/>
  <c r="C104" i="2"/>
  <c r="C110" i="2" s="1"/>
  <c r="B104" i="2"/>
  <c r="C103" i="2"/>
  <c r="B103" i="2"/>
  <c r="B110" i="2" s="1"/>
  <c r="B100" i="2"/>
  <c r="B99" i="2"/>
  <c r="C98" i="2"/>
  <c r="C101" i="2" s="1"/>
  <c r="B98" i="2"/>
  <c r="C97" i="2"/>
  <c r="B97" i="2"/>
  <c r="B96" i="2"/>
  <c r="B95" i="2"/>
  <c r="B101" i="2" s="1"/>
  <c r="B111" i="2" s="1"/>
  <c r="C92" i="2"/>
  <c r="B91" i="2"/>
  <c r="B92" i="2" s="1"/>
  <c r="C84" i="2"/>
  <c r="B84" i="2"/>
  <c r="B82" i="2"/>
  <c r="C81" i="2"/>
  <c r="B81" i="2"/>
  <c r="C80" i="2"/>
  <c r="B80" i="2"/>
  <c r="C79" i="2"/>
  <c r="B79" i="2"/>
  <c r="C77" i="2"/>
  <c r="B77" i="2"/>
  <c r="C76" i="2"/>
  <c r="B76" i="2"/>
  <c r="C75" i="2"/>
  <c r="B75" i="2"/>
  <c r="C74" i="2"/>
  <c r="C78" i="2" s="1"/>
  <c r="C83" i="2" s="1"/>
  <c r="C85" i="2" s="1"/>
  <c r="B74" i="2"/>
  <c r="B78" i="2" s="1"/>
  <c r="B83" i="2" s="1"/>
  <c r="B85" i="2" s="1"/>
  <c r="C73" i="2"/>
  <c r="B73" i="2"/>
  <c r="C66" i="2"/>
  <c r="B66" i="2"/>
  <c r="C65" i="2"/>
  <c r="C67" i="2" s="1"/>
  <c r="B65" i="2"/>
  <c r="B67" i="2" s="1"/>
  <c r="C63" i="2"/>
  <c r="B63" i="2"/>
  <c r="C62" i="2"/>
  <c r="B62" i="2"/>
  <c r="C61" i="2"/>
  <c r="B61" i="2"/>
  <c r="C58" i="2"/>
  <c r="B57" i="2"/>
  <c r="C56" i="2"/>
  <c r="B56" i="2"/>
  <c r="B58" i="2" s="1"/>
  <c r="C54" i="2"/>
  <c r="C59" i="2" s="1"/>
  <c r="B54" i="2"/>
  <c r="B53" i="2"/>
  <c r="B52" i="2"/>
  <c r="B59" i="2" s="1"/>
  <c r="B51" i="2"/>
  <c r="C48" i="2"/>
  <c r="B48" i="2"/>
  <c r="C47" i="2"/>
  <c r="B47" i="2"/>
  <c r="C46" i="2"/>
  <c r="B46" i="2"/>
  <c r="C45" i="2"/>
  <c r="C49" i="2" s="1"/>
  <c r="B45" i="2"/>
  <c r="B49" i="2" s="1"/>
  <c r="C42" i="2"/>
  <c r="B42" i="2"/>
  <c r="C41" i="2"/>
  <c r="B41" i="2"/>
  <c r="C40" i="2"/>
  <c r="B40" i="2"/>
  <c r="C39" i="2"/>
  <c r="C43" i="2" s="1"/>
  <c r="B39" i="2"/>
  <c r="B43" i="2" s="1"/>
  <c r="C34" i="2"/>
  <c r="B33" i="2"/>
  <c r="C32" i="2"/>
  <c r="B32" i="2"/>
  <c r="B31" i="2"/>
  <c r="C30" i="2"/>
  <c r="B30" i="2"/>
  <c r="B29" i="2"/>
  <c r="B34" i="2" s="1"/>
  <c r="C27" i="2"/>
  <c r="B26" i="2"/>
  <c r="B25" i="2"/>
  <c r="B27" i="2" s="1"/>
  <c r="B22" i="2"/>
  <c r="C21" i="2"/>
  <c r="B21" i="2"/>
  <c r="B20" i="2"/>
  <c r="C18" i="2"/>
  <c r="B18" i="2"/>
  <c r="C17" i="2"/>
  <c r="B17" i="2"/>
  <c r="C16" i="2"/>
  <c r="B16" i="2"/>
  <c r="C15" i="2"/>
  <c r="B15" i="2"/>
  <c r="B14" i="2"/>
  <c r="C13" i="2"/>
  <c r="B13" i="2"/>
  <c r="C12" i="2"/>
  <c r="B12" i="2"/>
  <c r="C11" i="2"/>
  <c r="C23" i="2" s="1"/>
  <c r="C35" i="2" s="1"/>
  <c r="B11" i="2"/>
  <c r="B10" i="2"/>
  <c r="B23" i="2" s="1"/>
  <c r="F64" i="1"/>
  <c r="C64" i="1"/>
  <c r="B56" i="1"/>
  <c r="F44" i="1"/>
  <c r="E44" i="1"/>
  <c r="C44" i="1"/>
  <c r="B44" i="1"/>
  <c r="F35" i="1"/>
  <c r="F48" i="1" s="1"/>
  <c r="E35" i="1"/>
  <c r="E48" i="1" s="1"/>
  <c r="C35" i="1"/>
  <c r="C48" i="1" s="1"/>
  <c r="B35" i="1"/>
  <c r="B48" i="1" s="1"/>
  <c r="F22" i="1"/>
  <c r="E22" i="1"/>
  <c r="C22" i="1"/>
  <c r="B22" i="1"/>
  <c r="E15" i="1"/>
  <c r="E24" i="1" s="1"/>
  <c r="E50" i="1" s="1"/>
  <c r="E58" i="1" s="1"/>
  <c r="B15" i="1"/>
  <c r="B24" i="1" s="1"/>
  <c r="F14" i="1"/>
  <c r="F15" i="1" s="1"/>
  <c r="F24" i="1" s="1"/>
  <c r="E14" i="1"/>
  <c r="C14" i="1"/>
  <c r="C15" i="1" s="1"/>
  <c r="C24" i="1" s="1"/>
  <c r="C50" i="1" s="1"/>
  <c r="I8" i="1"/>
  <c r="H8" i="1"/>
  <c r="I7" i="1"/>
  <c r="H7" i="1"/>
  <c r="C136" i="5" l="1"/>
  <c r="B24" i="5"/>
  <c r="F17" i="5"/>
  <c r="E90" i="5"/>
  <c r="E24" i="5"/>
  <c r="E45" i="5" s="1"/>
  <c r="E46" i="5" s="1"/>
  <c r="F51" i="5"/>
  <c r="F99" i="5"/>
  <c r="D158" i="5"/>
  <c r="B157" i="5"/>
  <c r="F157" i="5" s="1"/>
  <c r="F156" i="5"/>
  <c r="F11" i="5"/>
  <c r="F15" i="5"/>
  <c r="F23" i="5"/>
  <c r="D43" i="5"/>
  <c r="F80" i="5"/>
  <c r="E134" i="5"/>
  <c r="F98" i="5"/>
  <c r="C134" i="5"/>
  <c r="F115" i="5"/>
  <c r="F31" i="5"/>
  <c r="C135" i="5"/>
  <c r="B149" i="5"/>
  <c r="F148" i="5"/>
  <c r="E158" i="5"/>
  <c r="D24" i="5"/>
  <c r="D45" i="5" s="1"/>
  <c r="D46" i="5" s="1"/>
  <c r="D134" i="5"/>
  <c r="D135" i="5" s="1"/>
  <c r="F141" i="5"/>
  <c r="D115" i="5"/>
  <c r="F147" i="5"/>
  <c r="F16" i="5"/>
  <c r="F22" i="5"/>
  <c r="F50" i="5"/>
  <c r="F62" i="5"/>
  <c r="B85" i="5"/>
  <c r="F95" i="5"/>
  <c r="F124" i="5"/>
  <c r="F129" i="5"/>
  <c r="B132" i="5"/>
  <c r="F132" i="5" s="1"/>
  <c r="F140" i="5"/>
  <c r="F155" i="5"/>
  <c r="B40" i="5"/>
  <c r="B56" i="5"/>
  <c r="F67" i="5"/>
  <c r="B112" i="5"/>
  <c r="F153" i="5"/>
  <c r="C175" i="4"/>
  <c r="B187" i="4"/>
  <c r="C168" i="4"/>
  <c r="C28" i="3"/>
  <c r="C29" i="3" s="1"/>
  <c r="C30" i="3" s="1"/>
  <c r="B128" i="3"/>
  <c r="B129" i="3" s="1"/>
  <c r="B140" i="3" s="1"/>
  <c r="C124" i="3"/>
  <c r="C125" i="3" s="1"/>
  <c r="C126" i="3" s="1"/>
  <c r="C127" i="3" s="1"/>
  <c r="B35" i="2"/>
  <c r="B68" i="2"/>
  <c r="B69" i="2" s="1"/>
  <c r="B70" i="2" s="1"/>
  <c r="C111" i="2"/>
  <c r="C136" i="2" s="1"/>
  <c r="C137" i="2" s="1"/>
  <c r="C153" i="2" s="1"/>
  <c r="C68" i="2"/>
  <c r="C69" i="2" s="1"/>
  <c r="C70" i="2" s="1"/>
  <c r="C86" i="2" s="1"/>
  <c r="B135" i="2"/>
  <c r="B136" i="2" s="1"/>
  <c r="B137" i="2" s="1"/>
  <c r="B153" i="2" s="1"/>
  <c r="B50" i="1"/>
  <c r="B58" i="1" s="1"/>
  <c r="B60" i="5" l="1"/>
  <c r="F56" i="5"/>
  <c r="B89" i="5"/>
  <c r="F89" i="5" s="1"/>
  <c r="F85" i="5"/>
  <c r="B133" i="5"/>
  <c r="F133" i="5" s="1"/>
  <c r="E136" i="5"/>
  <c r="F24" i="5"/>
  <c r="F40" i="5"/>
  <c r="B42" i="5"/>
  <c r="F149" i="5"/>
  <c r="B158" i="5"/>
  <c r="F158" i="5" s="1"/>
  <c r="E135" i="5"/>
  <c r="B134" i="5"/>
  <c r="F134" i="5" s="1"/>
  <c r="F112" i="5"/>
  <c r="D136" i="5"/>
  <c r="C128" i="3"/>
  <c r="C129" i="3" s="1"/>
  <c r="B86" i="2"/>
  <c r="F42" i="5" l="1"/>
  <c r="B43" i="5"/>
  <c r="F60" i="5"/>
  <c r="B90" i="5"/>
  <c r="F43" i="5" l="1"/>
  <c r="B45" i="5"/>
  <c r="F90" i="5"/>
  <c r="B135" i="5"/>
  <c r="F135" i="5" s="1"/>
  <c r="F45" i="5" l="1"/>
  <c r="B46" i="5"/>
  <c r="F46" i="5" l="1"/>
  <c r="B136" i="5"/>
  <c r="F136" i="5" s="1"/>
</calcChain>
</file>

<file path=xl/sharedStrings.xml><?xml version="1.0" encoding="utf-8"?>
<sst xmlns="http://schemas.openxmlformats.org/spreadsheetml/2006/main" count="656" uniqueCount="523">
  <si>
    <t>Presbytery of Geneva - 2023</t>
  </si>
  <si>
    <t>Jan - Feb 2023</t>
  </si>
  <si>
    <t>2022
Y-T-D</t>
  </si>
  <si>
    <t>2022
Budget</t>
  </si>
  <si>
    <t>Giving and Other Receipts (Income)</t>
  </si>
  <si>
    <t>Presbytery Receipts</t>
  </si>
  <si>
    <t>Per Capita</t>
  </si>
  <si>
    <t>Presbytery Mission</t>
  </si>
  <si>
    <t>Other Presbytery Receipts</t>
  </si>
  <si>
    <t xml:space="preserve">    Misc Other</t>
  </si>
  <si>
    <t>Total Presbytery Receipts</t>
  </si>
  <si>
    <t>Camp Whitman Receipts</t>
  </si>
  <si>
    <t xml:space="preserve">     Camper &amp; Group Fees</t>
  </si>
  <si>
    <t xml:space="preserve">     Presbytery of Geneva Mission</t>
  </si>
  <si>
    <t xml:space="preserve">     Other Donations</t>
  </si>
  <si>
    <t>Total Camp Receipts</t>
  </si>
  <si>
    <t>Total Giving &amp; Other Receipts</t>
  </si>
  <si>
    <t>Ministry &amp; Mission (Expenditures)</t>
  </si>
  <si>
    <t>Presbytery Expenses</t>
  </si>
  <si>
    <t>Total Personnel</t>
  </si>
  <si>
    <t>Mission allocation to Camp</t>
  </si>
  <si>
    <t>Total Mission</t>
  </si>
  <si>
    <t>Total Operations</t>
  </si>
  <si>
    <t>Total Presbytery Expenses</t>
  </si>
  <si>
    <t>Camp Whitman Expenses</t>
  </si>
  <si>
    <t>Year-Round Staff Salaries</t>
  </si>
  <si>
    <t>Camp Summer Salaries</t>
  </si>
  <si>
    <t xml:space="preserve"> Salary Exp - Other</t>
  </si>
  <si>
    <t xml:space="preserve"> Contractors</t>
  </si>
  <si>
    <t>Program Expenses</t>
  </si>
  <si>
    <t>Operating Expenses</t>
  </si>
  <si>
    <t>Total Camp Whitman Expenses</t>
  </si>
  <si>
    <t>Total Ministry &amp; Mission</t>
  </si>
  <si>
    <r>
      <t>Budget Surplus /</t>
    </r>
    <r>
      <rPr>
        <b/>
        <sz val="12"/>
        <color indexed="10"/>
        <rFont val="Calibri"/>
        <family val="2"/>
      </rPr>
      <t xml:space="preserve"> (Shortage)</t>
    </r>
  </si>
  <si>
    <t>Net Dedicated Accts</t>
  </si>
  <si>
    <t>Net Investment Activity</t>
  </si>
  <si>
    <t>Change in Life Interest</t>
  </si>
  <si>
    <t>Other Income New covenant</t>
  </si>
  <si>
    <t>Net closing on Sale/depreciation</t>
  </si>
  <si>
    <t>Prior Year Adj</t>
  </si>
  <si>
    <t>Net Income Per Balance Sheet</t>
  </si>
  <si>
    <t>Membership</t>
  </si>
  <si>
    <t>Presbytery per capita</t>
  </si>
  <si>
    <t>Synod per capita</t>
  </si>
  <si>
    <t>GA per capita</t>
  </si>
  <si>
    <t>Total per capita</t>
  </si>
  <si>
    <t>Presbytery of Geneva</t>
  </si>
  <si>
    <t>Balance Sheet</t>
  </si>
  <si>
    <t>As of February 28, 2023</t>
  </si>
  <si>
    <t>Total</t>
  </si>
  <si>
    <t>As of Feb 28, 2023</t>
  </si>
  <si>
    <t>As of Feb 28, 2022 (PY)</t>
  </si>
  <si>
    <t>ASSETS</t>
  </si>
  <si>
    <t xml:space="preserve">   Current Assets</t>
  </si>
  <si>
    <t xml:space="preserve">      Bank Accounts</t>
  </si>
  <si>
    <t xml:space="preserve">         101 Community Bank - Operating  (1525)</t>
  </si>
  <si>
    <t xml:space="preserve">         102 Community Savings - MM</t>
  </si>
  <si>
    <t xml:space="preserve">         103 Community Bank - Savings</t>
  </si>
  <si>
    <t xml:space="preserve">         104 Community Bank - CCCF</t>
  </si>
  <si>
    <t xml:space="preserve">         105 Community - Camp Checking (0670)</t>
  </si>
  <si>
    <t xml:space="preserve">         106 Community - Camp Savings 2473</t>
  </si>
  <si>
    <t xml:space="preserve">         110 Community Bank - Mexico Mission</t>
  </si>
  <si>
    <t xml:space="preserve">         120 PayPal</t>
  </si>
  <si>
    <t xml:space="preserve">         130 Presbytery Mission Exchange</t>
  </si>
  <si>
    <t xml:space="preserve">         135 Presbyterian Foundation</t>
  </si>
  <si>
    <t xml:space="preserve">            135-1 Fidelity-Camp Whitman</t>
  </si>
  <si>
    <t xml:space="preserve">         Total 135 Presbyterian Foundation</t>
  </si>
  <si>
    <t xml:space="preserve">         2750_W CAMP WHITMAN EXPENDITURE - PERMITS/MEMBERSHIPS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</si>
  <si>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</si>
  <si>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</si>
  <si>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</si>
  <si>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   11001 A/R - YTD Adj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</si>
  <si>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</si>
  <si>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</si>
  <si>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</si>
  <si>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   12500 Start Up Cash</t>
  </si>
  <si>
    <t xml:space="preserve">         13000 Inventory</t>
  </si>
  <si>
    <t xml:space="preserve">         14400 Prepaid Expenses</t>
  </si>
  <si>
    <t xml:space="preserve">         Payroll Corrections</t>
  </si>
  <si>
    <t xml:space="preserve">      Total Other Current Assets</t>
  </si>
  <si>
    <t xml:space="preserve">   Total Current Assets</t>
  </si>
  <si>
    <t xml:space="preserve">   Fixed Assets</t>
  </si>
  <si>
    <t xml:space="preserve">      10000 Presbytery</t>
  </si>
  <si>
    <t xml:space="preserve">         14000 FA - Presbytery</t>
  </si>
  <si>
    <t xml:space="preserve">            14210 Building</t>
  </si>
  <si>
    <t xml:space="preserve">            14500 Leasehold improvements</t>
  </si>
  <si>
    <t xml:space="preserve">            14800 Furniture and Equipment</t>
  </si>
  <si>
    <t xml:space="preserve">            14900 Vehicles</t>
  </si>
  <si>
    <t xml:space="preserve">         Total 14000 FA - Presbytery</t>
  </si>
  <si>
    <t xml:space="preserve">         14200 A/D - Presbytery</t>
  </si>
  <si>
    <t xml:space="preserve">            14100 Building - A/D</t>
  </si>
  <si>
    <t xml:space="preserve">            14510 Leasehold Improv - A/D</t>
  </si>
  <si>
    <t xml:space="preserve">            14810 Furniture &amp; Fixtures - A/D</t>
  </si>
  <si>
    <t xml:space="preserve">            15301 Accumulated Amortization</t>
  </si>
  <si>
    <t xml:space="preserve">         Total 14200 A/D - Presbytery</t>
  </si>
  <si>
    <t xml:space="preserve">         15000 FA - Camp</t>
  </si>
  <si>
    <t xml:space="preserve">            15100 Buildings</t>
  </si>
  <si>
    <t xml:space="preserve">            15150 Land</t>
  </si>
  <si>
    <t xml:space="preserve">            15200 Improvements</t>
  </si>
  <si>
    <t xml:space="preserve">            15300 Furniture &amp; Equipment</t>
  </si>
  <si>
    <t xml:space="preserve">            15600 Vehicles &amp; Boats</t>
  </si>
  <si>
    <t xml:space="preserve">               15310 Boats</t>
  </si>
  <si>
    <t xml:space="preserve">               15340 Vehicles/Tractors</t>
  </si>
  <si>
    <t xml:space="preserve">            Total 15600 Vehicles &amp; Boats</t>
  </si>
  <si>
    <t xml:space="preserve">         Total 15000 FA - Camp</t>
  </si>
  <si>
    <t xml:space="preserve">         15700 A/D - Camp</t>
  </si>
  <si>
    <t xml:space="preserve">            15110 Buildings - A/D</t>
  </si>
  <si>
    <t xml:space="preserve">            15210 Improvements - A/D</t>
  </si>
  <si>
    <t xml:space="preserve">            15320 Furniture &amp; Fixtures - A/D</t>
  </si>
  <si>
    <t xml:space="preserve">            15450 Vehicles &amp; Boats - A/D</t>
  </si>
  <si>
    <t xml:space="preserve">               15311 Boats - A/D</t>
  </si>
  <si>
    <t xml:space="preserve">               15341 Vehicles - A/D</t>
  </si>
  <si>
    <t xml:space="preserve">            Total 15450 Vehicles &amp; Boats - A/D</t>
  </si>
  <si>
    <t xml:space="preserve">         Total 15700 A/D - Camp</t>
  </si>
  <si>
    <t xml:space="preserve">      Total 10000 Presbytery</t>
  </si>
  <si>
    <t xml:space="preserve">   Total Fixed Assets</t>
  </si>
  <si>
    <t xml:space="preserve">   Other Assets</t>
  </si>
  <si>
    <t xml:space="preserve">      300 Marketable Securities</t>
  </si>
  <si>
    <t xml:space="preserve">         301 Smith Barney MM - 13902-19</t>
  </si>
  <si>
    <t xml:space="preserve">         301.1 Morgan Stanley - MM 111909</t>
  </si>
  <si>
    <t xml:space="preserve">            301.11 Cash, MM</t>
  </si>
  <si>
    <t xml:space="preserve">            301.13 Stocks</t>
  </si>
  <si>
    <t xml:space="preserve">            301.14 Mutual Funds</t>
  </si>
  <si>
    <t xml:space="preserve">         Total 301.1 Morgan Stanley - MM 111909</t>
  </si>
  <si>
    <t xml:space="preserve">         302 Endowment- Canoga Church</t>
  </si>
  <si>
    <t xml:space="preserve">         303 Endowment-Presbytery Gen'l</t>
  </si>
  <si>
    <t xml:space="preserve">         304 Endowment- Camp Whitman</t>
  </si>
  <si>
    <t xml:space="preserve">         401 Int PF GP Endowment</t>
  </si>
  <si>
    <t xml:space="preserve">      Total 300 Marketable Securities</t>
  </si>
  <si>
    <t xml:space="preserve">      555 Property Dissolution of Church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</si>
  <si>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</si>
  <si>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</si>
  <si>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</si>
  <si>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</si>
  <si>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</si>
  <si>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</si>
  <si>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</si>
  <si>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</si>
  <si>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Credit Cards</t>
  </si>
  <si>
    <t xml:space="preserve">            2850.00 Community Bank</t>
  </si>
  <si>
    <t xml:space="preserve">               2850.10 Elena Delhagen</t>
  </si>
  <si>
    <t xml:space="preserve">               2850.20 Lea Kone</t>
  </si>
  <si>
    <t xml:space="preserve">               2850.25 Susan Orr</t>
  </si>
  <si>
    <t xml:space="preserve">               2850.30 Camp Facility Manager</t>
  </si>
  <si>
    <t xml:space="preserve">               2855.10 Program Director</t>
  </si>
  <si>
    <t xml:space="preserve">               2855.20 Marjorie Ackermann</t>
  </si>
  <si>
    <t xml:space="preserve">            Total 2850.00 Community Bank</t>
  </si>
  <si>
    <t xml:space="preserve">            29500 Bank of America</t>
  </si>
  <si>
    <t xml:space="preserve">               25934 Alvarez, Alicia - 9360</t>
  </si>
  <si>
    <t xml:space="preserve">               29510 BA - K. Jensen - 0246</t>
  </si>
  <si>
    <t xml:space="preserve">               29520 BA - D. Jepsen - 5751</t>
  </si>
  <si>
    <t xml:space="preserve">               29530 BA - LBB - 6199</t>
  </si>
  <si>
    <t xml:space="preserve">               29532 BA  - L Kone - 7721</t>
  </si>
  <si>
    <t xml:space="preserve">               29535 Delhagen, Elena-9814</t>
  </si>
  <si>
    <t xml:space="preserve">               29536 Orr, Susan - 6712</t>
  </si>
  <si>
    <t xml:space="preserve">            Total 29500 Bank of America</t>
  </si>
  <si>
    <t xml:space="preserve">         Total Credit Cards</t>
  </si>
  <si>
    <t xml:space="preserve">         Other Current Liabilities</t>
  </si>
  <si>
    <t xml:space="preserve">            26000 CB - Building Loan</t>
  </si>
  <si>
    <t xml:space="preserve">            26510 Due to</t>
  </si>
  <si>
    <t xml:space="preserve">            26550 Deferred Revenue</t>
  </si>
  <si>
    <t xml:space="preserve">            26555 Def Revenue Camp</t>
  </si>
  <si>
    <t xml:space="preserve">            26660 Accrued Payroll</t>
  </si>
  <si>
    <t xml:space="preserve">            27850 Due To - NCD Special Offering</t>
  </si>
  <si>
    <t xml:space="preserve">            6280 Federal Witholding</t>
  </si>
  <si>
    <t xml:space="preserve">            6285 FICA-Employee Share</t>
  </si>
  <si>
    <t xml:space="preserve">            6290 State Witholding</t>
  </si>
  <si>
    <t xml:space="preserve">            Payroll Liabilities</t>
  </si>
  <si>
    <t xml:space="preserve">               28010 Federal Taxes (941/944)</t>
  </si>
  <si>
    <t xml:space="preserve">               28020 NYS Income Tax</t>
  </si>
  <si>
    <t xml:space="preserve">               CA PIT / SDI</t>
  </si>
  <si>
    <t xml:space="preserve">               CT Income Tax</t>
  </si>
  <si>
    <t xml:space="preserve">               Direct Deposit Payable</t>
  </si>
  <si>
    <t xml:space="preserve">               MA Income Tax</t>
  </si>
  <si>
    <t xml:space="preserve">               ME Income Tax</t>
  </si>
  <si>
    <t xml:space="preserve">               MEMBER DENTAL</t>
  </si>
  <si>
    <t xml:space="preserve">               NY PFL</t>
  </si>
  <si>
    <t xml:space="preserve">               NY SDI</t>
  </si>
  <si>
    <t xml:space="preserve">               NYS Employment Taxes</t>
  </si>
  <si>
    <t xml:space="preserve">            Total Payroll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</si>
  <si>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</si>
  <si>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</si>
  <si>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</si>
  <si>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</si>
  <si>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3200.00 Net Assets without Restrictions</t>
  </si>
  <si>
    <t xml:space="preserve">         3200.10 Operations</t>
  </si>
  <si>
    <t xml:space="preserve">         3200.20 Board Designated</t>
  </si>
  <si>
    <t xml:space="preserve">      Total 3200.00 Net Assets without Restrictions</t>
  </si>
  <si>
    <t xml:space="preserve">      32000 Unrestricted Net Assets</t>
  </si>
  <si>
    <t xml:space="preserve">      3440.00 Net Assets with Restrictions</t>
  </si>
  <si>
    <t xml:space="preserve">         3440.10 Perm. Restricted Net Assets</t>
  </si>
  <si>
    <t xml:space="preserve">         3440.15 TR - Purpose</t>
  </si>
  <si>
    <t xml:space="preserve">         3440.30 TR - Time Restricted</t>
  </si>
  <si>
    <t xml:space="preserve">         3440.40 TR-Unappropriated Endowment Earnings</t>
  </si>
  <si>
    <t xml:space="preserve">      Total 3440.00 Net Assets with Restrictions</t>
  </si>
  <si>
    <t xml:space="preserve">      800 Opening Bal Equity</t>
  </si>
  <si>
    <t xml:space="preserve">      Net Income</t>
  </si>
  <si>
    <t xml:space="preserve">   Total Equity</t>
  </si>
  <si>
    <t>TOTAL LIABILITIES AND EQUITY</t>
  </si>
  <si>
    <t xml:space="preserve">Budget Overview: Operating &amp; Mission 2023 - FY23 P&amp;L </t>
  </si>
  <si>
    <t>Income</t>
  </si>
  <si>
    <t xml:space="preserve">   4000.00 Presbytery Receipts</t>
  </si>
  <si>
    <t xml:space="preserve">      4200.00 Mission - Presbytery</t>
  </si>
  <si>
    <t xml:space="preserve">         3100_M Presbytery Mission</t>
  </si>
  <si>
    <t xml:space="preserve">      Total 4200.00 Mission - Presbytery</t>
  </si>
  <si>
    <t xml:space="preserve">      4200_OP Per Capita</t>
  </si>
  <si>
    <t xml:space="preserve">         4200 Operation</t>
  </si>
  <si>
    <t xml:space="preserve">            4200_O Presbytery Per Capita</t>
  </si>
  <si>
    <t xml:space="preserve">         Total 4200 Operation</t>
  </si>
  <si>
    <t xml:space="preserve">      Total 4200_OP Per Capita</t>
  </si>
  <si>
    <t xml:space="preserve">      4303.00 Other Presbytery Reciepts</t>
  </si>
  <si>
    <t xml:space="preserve">         3200 Synod</t>
  </si>
  <si>
    <t xml:space="preserve">            3200_M Synod Mission</t>
  </si>
  <si>
    <t xml:space="preserve">         Total 3200 Synod</t>
  </si>
  <si>
    <t xml:space="preserve">         4440_O Miscellaneous</t>
  </si>
  <si>
    <t xml:space="preserve">            4500.O Interest</t>
  </si>
  <si>
    <t xml:space="preserve">            Undistributed Income</t>
  </si>
  <si>
    <t xml:space="preserve">            4404_O Other</t>
  </si>
  <si>
    <t xml:space="preserve">         Total 4440_O Miscellaneous</t>
  </si>
  <si>
    <t xml:space="preserve">      Total 4303.00 Other Presbytery Reciepts</t>
  </si>
  <si>
    <t xml:space="preserve">   Total 4000.00 Presbytery Receipts</t>
  </si>
  <si>
    <t>Total Income</t>
  </si>
  <si>
    <t>Gross Profit</t>
  </si>
  <si>
    <t>Expenses</t>
  </si>
  <si>
    <t xml:space="preserve">   2222.00 Presbytery Expenses</t>
  </si>
  <si>
    <t xml:space="preserve">      6000_O Salaries and Benefits</t>
  </si>
  <si>
    <t xml:space="preserve">         6001_O Executive Salaries</t>
  </si>
  <si>
    <t xml:space="preserve">            6050_O Presbytery Leader</t>
  </si>
  <si>
    <t xml:space="preserve">               6051_O Cash Salary - Operations</t>
  </si>
  <si>
    <t xml:space="preserve">               6053_O SECA Offset/FICA</t>
  </si>
  <si>
    <t xml:space="preserve">               6052_O Housing</t>
  </si>
  <si>
    <t xml:space="preserve">               6054_O  Major Medical/Dental</t>
  </si>
  <si>
    <t xml:space="preserve">               6056_O Board of Pensions</t>
  </si>
  <si>
    <t xml:space="preserve">               6057_O Study Leave</t>
  </si>
  <si>
    <t xml:space="preserve">               6058_O Travel/Business </t>
  </si>
  <si>
    <t xml:space="preserve">             6058_M - Travel Business Mission</t>
  </si>
  <si>
    <t xml:space="preserve">               6060_O - Fidelity - Retirement</t>
  </si>
  <si>
    <t xml:space="preserve">            Total 6050_O Presbytery Leader</t>
  </si>
  <si>
    <t xml:space="preserve">         Total 6001_O Executive Salaries</t>
  </si>
  <si>
    <t xml:space="preserve">         6020_O Stated Clerk</t>
  </si>
  <si>
    <t xml:space="preserve">            6021_O Cash Salary</t>
  </si>
  <si>
    <t xml:space="preserve">            6027_O Per diem</t>
  </si>
  <si>
    <t xml:space="preserve">            6023_O Seca Offset/Fica</t>
  </si>
  <si>
    <t xml:space="preserve">            6027_O Travel/Business</t>
  </si>
  <si>
    <t xml:space="preserve">         Total 6020_O Stated Clerk</t>
  </si>
  <si>
    <t xml:space="preserve">         6030_O Administrative Service</t>
  </si>
  <si>
    <t xml:space="preserve">            6031_O Cash Salary - Communication</t>
  </si>
  <si>
    <t xml:space="preserve">            6041_O Cash Salary - Financial Assistant</t>
  </si>
  <si>
    <t xml:space="preserve">            6065-O Payroll Taxes</t>
  </si>
  <si>
    <t xml:space="preserve">            6036_O Board of Pension/Fidelity Inv.</t>
  </si>
  <si>
    <t xml:space="preserve">             6796 _O Travel Presbytery Mtgs</t>
  </si>
  <si>
    <t xml:space="preserve">            6795_O Staff Travel</t>
  </si>
  <si>
    <t xml:space="preserve">         Total 6030_O Communication</t>
  </si>
  <si>
    <t xml:space="preserve">         6222_O Benefits</t>
  </si>
  <si>
    <t xml:space="preserve">            6220_O Disability Insurance</t>
  </si>
  <si>
    <t xml:space="preserve">            6250_O Worker's Comp</t>
  </si>
  <si>
    <t xml:space="preserve">           9999 - Uncatergorized Exp</t>
  </si>
  <si>
    <t xml:space="preserve">            6270_O Unemployment Insurance</t>
  </si>
  <si>
    <t xml:space="preserve">         Total 6222_O Benefits</t>
  </si>
  <si>
    <t xml:space="preserve">      Total 6000_O Salaries and Benefits</t>
  </si>
  <si>
    <t xml:space="preserve">      6800.00 MISSION EXPENDITURES</t>
  </si>
  <si>
    <t xml:space="preserve">         5100_M Presbytery Endorsed Projects</t>
  </si>
  <si>
    <t xml:space="preserve">            5155_M Youth Triennium</t>
  </si>
  <si>
    <t xml:space="preserve">         Total 5100_M Presbytery Endorsed Projects</t>
  </si>
  <si>
    <t xml:space="preserve">         5200_M Mission &amp; Witness (inc. grants)</t>
  </si>
  <si>
    <t xml:space="preserve">         </t>
  </si>
  <si>
    <t xml:space="preserve">         5350_M Mission Allocation to Camp</t>
  </si>
  <si>
    <t xml:space="preserve">          5135_O - New Church Development</t>
  </si>
  <si>
    <t xml:space="preserve">         6500_M Mission Priority of Presbytery</t>
  </si>
  <si>
    <t xml:space="preserve">            6501_M - Other</t>
  </si>
  <si>
    <t xml:space="preserve">            6504_M Leader Care</t>
  </si>
  <si>
    <t xml:space="preserve">            6509_M Vitality</t>
  </si>
  <si>
    <t xml:space="preserve">            6511_M Committee on Ministry</t>
  </si>
  <si>
    <t xml:space="preserve">         Total 6500_M Mission Priority of Presbytery</t>
  </si>
  <si>
    <t xml:space="preserve">      Total 6800.00 MISSION EXPENDITURES</t>
  </si>
  <si>
    <t xml:space="preserve">      7100.00 Operating Expenses</t>
  </si>
  <si>
    <t xml:space="preserve">         6600_O Office Expenses</t>
  </si>
  <si>
    <t xml:space="preserve">            6615_O Maintenance &amp; Repairs</t>
  </si>
  <si>
    <t xml:space="preserve">            6620_O Utilities</t>
  </si>
  <si>
    <t xml:space="preserve">            6630_O Telephone</t>
  </si>
  <si>
    <t xml:space="preserve">            6640_O Postage/PO Box</t>
  </si>
  <si>
    <t xml:space="preserve">            6651_O Bank Fees</t>
  </si>
  <si>
    <t xml:space="preserve">            6655_O Equip. Leases/Service Contracts</t>
  </si>
  <si>
    <t xml:space="preserve">            6660_O Equipment Purchases</t>
  </si>
  <si>
    <t xml:space="preserve">            6661_O Computer Software-Hardware</t>
  </si>
  <si>
    <t xml:space="preserve">            6662_O Committee Expenses</t>
  </si>
  <si>
    <t xml:space="preserve">            6665_O Website</t>
  </si>
  <si>
    <t xml:space="preserve">            6670_O Office Supplies &amp; Hospitality</t>
  </si>
  <si>
    <t xml:space="preserve">           6756_O - Home Office reimbursement</t>
  </si>
  <si>
    <t xml:space="preserve">            6685_O Staff Development</t>
  </si>
  <si>
    <t xml:space="preserve">            6856_O Rent Storage Space</t>
  </si>
  <si>
    <t xml:space="preserve">            6715_O -  Dues</t>
  </si>
  <si>
    <t xml:space="preserve">            6755_O Building Loan</t>
  </si>
  <si>
    <t xml:space="preserve">         Total 6600_O Office Expenses</t>
  </si>
  <si>
    <t xml:space="preserve">         6700 Other Operating Expenses</t>
  </si>
  <si>
    <t xml:space="preserve">            6720_O Insurance-Office</t>
  </si>
  <si>
    <t xml:space="preserve">            6730_O Synod Per Capita</t>
  </si>
  <si>
    <t xml:space="preserve">            6740_O GA Per Capita</t>
  </si>
  <si>
    <t xml:space="preserve">            6750_O Legal Expenses</t>
  </si>
  <si>
    <t xml:space="preserve">            6770_O GA/Synod Meetings</t>
  </si>
  <si>
    <t xml:space="preserve">            6775_O Presbytery Meeting Expenses</t>
  </si>
  <si>
    <t xml:space="preserve">            6790_O Moving Expenses</t>
  </si>
  <si>
    <t xml:space="preserve">            6799_O Adj for Uncollectables</t>
  </si>
  <si>
    <t xml:space="preserve">            6800 Outside Contractors</t>
  </si>
  <si>
    <t xml:space="preserve">               6810_O Payroll Service</t>
  </si>
  <si>
    <t xml:space="preserve">              6840_O Computer Services</t>
  </si>
  <si>
    <t xml:space="preserve">               6820_O Bookkeeping</t>
  </si>
  <si>
    <t xml:space="preserve">            Total 6800 Outside Contractors</t>
  </si>
  <si>
    <t xml:space="preserve">            6900 Professional Fees</t>
  </si>
  <si>
    <t xml:space="preserve">               6910_O Auditor Contract</t>
  </si>
  <si>
    <t xml:space="preserve">            Total 6900 Professional Fees</t>
  </si>
  <si>
    <t xml:space="preserve">         Total 6700 Other Operating Expenses</t>
  </si>
  <si>
    <t xml:space="preserve">      Total 7100.00 Operating Expenses</t>
  </si>
  <si>
    <t xml:space="preserve">   Total 2222.00 Presbytery Expenses</t>
  </si>
  <si>
    <t>Total Expenses</t>
  </si>
  <si>
    <t>Net Operating Income</t>
  </si>
  <si>
    <t>Net Income</t>
  </si>
  <si>
    <t>Net Camp Activity</t>
  </si>
  <si>
    <t>Income YTD - New Covenent - Operations</t>
  </si>
  <si>
    <t>Depreciation (Building Sale</t>
  </si>
  <si>
    <t>Prior Year adjustment</t>
  </si>
  <si>
    <t>Net Dedicated Accounts</t>
  </si>
  <si>
    <t>Ties to Balance Sheet</t>
  </si>
  <si>
    <t xml:space="preserve">Budget Overview: Camp 2023 Budget - FY23 P&amp;L </t>
  </si>
  <si>
    <t xml:space="preserve">   4999 CAMP WHITMAN INCOME</t>
  </si>
  <si>
    <t xml:space="preserve">      1001_W Camper &amp; Group Fees</t>
  </si>
  <si>
    <t xml:space="preserve">         1000_W Camper Fees</t>
  </si>
  <si>
    <t xml:space="preserve">         1050_W Rental Group Fees</t>
  </si>
  <si>
    <t xml:space="preserve">         1100_W Holiday Weekend Rental Fees</t>
  </si>
  <si>
    <t xml:space="preserve">         1557_W Meals/Program Fees</t>
  </si>
  <si>
    <t xml:space="preserve">      Total 1001_W Camper &amp; Group Fees</t>
  </si>
  <si>
    <t xml:space="preserve">      1601_W Other Donations</t>
  </si>
  <si>
    <t xml:space="preserve">         1300_W Camp Mission/Scholarship Income</t>
  </si>
  <si>
    <t xml:space="preserve">            1301_W Misc Camper Donations/Scholar.</t>
  </si>
  <si>
    <t xml:space="preserve">            1350_W Pres. of Genesee Local Church</t>
  </si>
  <si>
    <t xml:space="preserve">            1400_W Pres. of Genesee Valley Mission</t>
  </si>
  <si>
    <t xml:space="preserve">            1450_W Pres. of Geneva Churches</t>
  </si>
  <si>
    <t xml:space="preserve">            1500_W Pres. of Geneva Endowment Int</t>
  </si>
  <si>
    <t xml:space="preserve">            1550_W Pres. of Geneva Mission Pledge</t>
  </si>
  <si>
    <t xml:space="preserve">            1551_W Membership Dues</t>
  </si>
  <si>
    <t xml:space="preserve">         Total 1300_W Camp Mission/Scholarship Income</t>
  </si>
  <si>
    <t xml:space="preserve">         1600_W Misc. Income</t>
  </si>
  <si>
    <t xml:space="preserve">         Undistributed Income</t>
  </si>
  <si>
    <t xml:space="preserve">         1665_W Interest</t>
  </si>
  <si>
    <t xml:space="preserve">         1610_W Fund Raising Events</t>
  </si>
  <si>
    <t xml:space="preserve">          Undistributed income</t>
  </si>
  <si>
    <t xml:space="preserve">         1662_W Camp Store</t>
  </si>
  <si>
    <t xml:space="preserve">      Total 1601_W Other Donations</t>
  </si>
  <si>
    <t xml:space="preserve">   Total 4999 CAMP WHITMAN INCOME</t>
  </si>
  <si>
    <t xml:space="preserve">   2111 CAMP WHITMAN EXPENDITURES</t>
  </si>
  <si>
    <t xml:space="preserve">      2000.20 Camp Summer Salaries</t>
  </si>
  <si>
    <t xml:space="preserve">         2010_W Aquatic Director</t>
  </si>
  <si>
    <t xml:space="preserve">        2015_W Office Assistant</t>
  </si>
  <si>
    <t xml:space="preserve">        2020_W Program Staff/Life Guards</t>
  </si>
  <si>
    <t xml:space="preserve">         2032_W Nurse</t>
  </si>
  <si>
    <t xml:space="preserve">         2040_W Head Cook</t>
  </si>
  <si>
    <t xml:space="preserve">         2045_W Assistant Cook</t>
  </si>
  <si>
    <t xml:space="preserve">         2060_W Prep Cook/Dishwasher (2)</t>
  </si>
  <si>
    <t xml:space="preserve">         2070_W Housekeeper/Maint Assist</t>
  </si>
  <si>
    <t xml:space="preserve">         2090_W DD Camp Coordinator</t>
  </si>
  <si>
    <t xml:space="preserve">            2100_W Graded Camp/Program  Co-ordinator</t>
  </si>
  <si>
    <t xml:space="preserve">         2101_W CIT &amp; Mission Trip Leader</t>
  </si>
  <si>
    <t xml:space="preserve">                       Rental Group Host</t>
  </si>
  <si>
    <t xml:space="preserve">                       Housekeeping</t>
  </si>
  <si>
    <t xml:space="preserve">         2103_W Chaplain Intern</t>
  </si>
  <si>
    <t xml:space="preserve">         2106_W Video/Media</t>
  </si>
  <si>
    <t xml:space="preserve">         2102_W Program Director/Assistant Director</t>
  </si>
  <si>
    <t xml:space="preserve">         2110_W Counselors</t>
  </si>
  <si>
    <t xml:space="preserve">      Total 2000.20 Camp Summer Salaries</t>
  </si>
  <si>
    <t xml:space="preserve">      2113_W Year Round Staff Salaries</t>
  </si>
  <si>
    <t xml:space="preserve">         2603_W Camp Director</t>
  </si>
  <si>
    <t xml:space="preserve">            2661_W Cash Salary</t>
  </si>
  <si>
    <t xml:space="preserve">            2663_W Board of Pension</t>
  </si>
  <si>
    <t xml:space="preserve">         Total 2603_W Camp Director</t>
  </si>
  <si>
    <t xml:space="preserve">         2604_W Camp Property Manager</t>
  </si>
  <si>
    <t xml:space="preserve">            2665_W Cash Salary</t>
  </si>
  <si>
    <t xml:space="preserve">         Total 2604_W Camp Property Manager</t>
  </si>
  <si>
    <t xml:space="preserve">         2605_W Assistant Property Manager</t>
  </si>
  <si>
    <t xml:space="preserve">            2668_W Cash Salary</t>
  </si>
  <si>
    <t xml:space="preserve">         2214_W Registration &amp; Program Administration</t>
  </si>
  <si>
    <t xml:space="preserve">            2611_W Cash Salary</t>
  </si>
  <si>
    <t xml:space="preserve">      Total 2113_W Year Round Staff Salaries</t>
  </si>
  <si>
    <t xml:space="preserve">      2117_W Camp Payroll Other</t>
  </si>
  <si>
    <t xml:space="preserve">         2120_W Workers Comp_Camp</t>
  </si>
  <si>
    <t xml:space="preserve">         2125_W FICA_Camp</t>
  </si>
  <si>
    <t xml:space="preserve">         2127_W Recruitement</t>
  </si>
  <si>
    <t xml:space="preserve">         2126_W Other/Outside Contractor</t>
  </si>
  <si>
    <t xml:space="preserve">           2621_W Lawn Mowing</t>
  </si>
  <si>
    <t xml:space="preserve">           2622_W Maintenance</t>
  </si>
  <si>
    <t xml:space="preserve">           2623_W Housekeeping</t>
  </si>
  <si>
    <t xml:space="preserve">           2624_W Assistant Directro - Camper &amp; Counselor Care</t>
  </si>
  <si>
    <t xml:space="preserve">           2625_W Farm &amp; Garden Manager</t>
  </si>
  <si>
    <t xml:space="preserve">         2128_W Payroll Service Fees</t>
  </si>
  <si>
    <t xml:space="preserve">         2129_W NYS DBL</t>
  </si>
  <si>
    <t xml:space="preserve">      Total 2117_W Camp Payroll Other</t>
  </si>
  <si>
    <t xml:space="preserve">      2200_W Program Expense</t>
  </si>
  <si>
    <t xml:space="preserve">         2205_W Bank Fees</t>
  </si>
  <si>
    <t xml:space="preserve">         2099_W Uncategorized Expenses Camp</t>
  </si>
  <si>
    <t xml:space="preserve">         2210_W Computer Software &amp; Support</t>
  </si>
  <si>
    <t xml:space="preserve">        2222_W Permits</t>
  </si>
  <si>
    <t xml:space="preserve">         2225_W Arts &amp; Crafts</t>
  </si>
  <si>
    <t xml:space="preserve">         2230_W General Program Expenses</t>
  </si>
  <si>
    <t xml:space="preserve">         2232_W Staff Expenses</t>
  </si>
  <si>
    <t xml:space="preserve">            2235_W Mileage/Meals for Staff</t>
  </si>
  <si>
    <t xml:space="preserve">            2236_W Staff Appreciation</t>
  </si>
  <si>
    <t xml:space="preserve">            2254_W Staff Travel</t>
  </si>
  <si>
    <t xml:space="preserve">         Total 2232_W Staff Expenses</t>
  </si>
  <si>
    <t xml:space="preserve">         2243_W Committee Exp.</t>
  </si>
  <si>
    <t xml:space="preserve">         2251_W Office Expenses/Support</t>
  </si>
  <si>
    <t xml:space="preserve">            2252_W Office Supplies</t>
  </si>
  <si>
    <t xml:space="preserve">            2255_W Postage</t>
  </si>
  <si>
    <t xml:space="preserve">         Total 2251_W Office Expenses/Support</t>
  </si>
  <si>
    <t xml:space="preserve">         2256_W Professional Developement</t>
  </si>
  <si>
    <t xml:space="preserve">         2265_W Staff Training</t>
  </si>
  <si>
    <t xml:space="preserve">         2270_W Camp Store</t>
  </si>
  <si>
    <t xml:space="preserve">         2271_W Staff T Shirts</t>
  </si>
  <si>
    <t xml:space="preserve">         2275_W Registration Materials</t>
  </si>
  <si>
    <t xml:space="preserve">         2280_W Program Equipment</t>
  </si>
  <si>
    <t xml:space="preserve">         2290_W Marketing &amp; Advertising</t>
  </si>
  <si>
    <t xml:space="preserve">         2291_W Website</t>
  </si>
  <si>
    <t xml:space="preserve">         2400_W Swimming Pool</t>
  </si>
  <si>
    <t xml:space="preserve">            2410_W Chemicals</t>
  </si>
  <si>
    <t xml:space="preserve">            2420_W Equipment and Repair</t>
  </si>
  <si>
    <t xml:space="preserve">         Total 2400_W Swimming Pool</t>
  </si>
  <si>
    <t xml:space="preserve">         2500_W Lakefront</t>
  </si>
  <si>
    <t xml:space="preserve">            2510_W Boat Maintenance &amp; Repair</t>
  </si>
  <si>
    <t xml:space="preserve">            2530_W Equipment &amp; Repair</t>
  </si>
  <si>
    <t xml:space="preserve">         Total 2500_W Lakefront</t>
  </si>
  <si>
    <t xml:space="preserve">         2600_W Medical</t>
  </si>
  <si>
    <t xml:space="preserve">            2610_W Medical Supplies &amp; Equipment</t>
  </si>
  <si>
    <t xml:space="preserve">         Total 2600_W Medical</t>
  </si>
  <si>
    <t xml:space="preserve">         2700_W Kitchen</t>
  </si>
  <si>
    <t xml:space="preserve">            2710_W Food</t>
  </si>
  <si>
    <t xml:space="preserve">            2720_W Kitchen &amp; Cleaning Supplies</t>
  </si>
  <si>
    <t xml:space="preserve">            2730_W Equipment &amp; Repair</t>
  </si>
  <si>
    <t xml:space="preserve">            2731_W Kitchen Supplies/Equipment</t>
  </si>
  <si>
    <t xml:space="preserve">         Total 2700_W Kitchen</t>
  </si>
  <si>
    <t xml:space="preserve">         2725_W Fund Raising Expenses</t>
  </si>
  <si>
    <t xml:space="preserve">         2750_W Permits/Memberships</t>
  </si>
  <si>
    <t xml:space="preserve">      Total 2200_W Program Expense</t>
  </si>
  <si>
    <t xml:space="preserve">      2500.00 Camp Operating Expenses</t>
  </si>
  <si>
    <t xml:space="preserve">         2150_W Insurance</t>
  </si>
  <si>
    <t xml:space="preserve">            2154_W Vehicle</t>
  </si>
  <si>
    <t xml:space="preserve">            2155_W Property/Liability/Accident</t>
  </si>
  <si>
    <t xml:space="preserve">         Total 2150_W Insurance</t>
  </si>
  <si>
    <t xml:space="preserve">         2300_W Utilities</t>
  </si>
  <si>
    <t xml:space="preserve">            2310_W Telephone &amp; Internet</t>
  </si>
  <si>
    <t xml:space="preserve">            2320_W Electric</t>
  </si>
  <si>
    <t xml:space="preserve">            2330_W Propane Gas</t>
  </si>
  <si>
    <t xml:space="preserve">         Total 2300_W Utilities</t>
  </si>
  <si>
    <t xml:space="preserve">         2800_W Vehicle Maintenance</t>
  </si>
  <si>
    <t xml:space="preserve">            2810_W Cars &amp; Trucks</t>
  </si>
  <si>
    <t xml:space="preserve">            2820_W Tractor</t>
  </si>
  <si>
    <t xml:space="preserve">            2830_W Golf Carts</t>
  </si>
  <si>
    <t xml:space="preserve">            2840_W Mower</t>
  </si>
  <si>
    <t xml:space="preserve">            2850_W Fuel</t>
  </si>
  <si>
    <t xml:space="preserve">            2860_W Large Equip</t>
  </si>
  <si>
    <t xml:space="preserve">            2865_W Vehicle Rental</t>
  </si>
  <si>
    <t xml:space="preserve">         Total 2800_W Vehicle Maintenance</t>
  </si>
  <si>
    <t xml:space="preserve">         2900 General Maintenance</t>
  </si>
  <si>
    <t xml:space="preserve">            2910_W Small Equipment Repair</t>
  </si>
  <si>
    <t xml:space="preserve">            2920_W New Equipment &amp; Tools</t>
  </si>
  <si>
    <t xml:space="preserve">            2930_W Pump Holding Tanks</t>
  </si>
  <si>
    <t xml:space="preserve">            2940_W Port a Johns</t>
  </si>
  <si>
    <t xml:space="preserve">            2950_W Refuse Removal Fees</t>
  </si>
  <si>
    <t xml:space="preserve">            2960_W Fire Extinguishers</t>
  </si>
  <si>
    <t xml:space="preserve">            2970_W General Supplies</t>
  </si>
  <si>
    <t xml:space="preserve">            2980_W Water System Supplies &amp; Repairs</t>
  </si>
  <si>
    <t xml:space="preserve">            2995_W - Outside Contractors</t>
  </si>
  <si>
    <t xml:space="preserve">            2990_W Lumber &amp; Building Supplies</t>
  </si>
  <si>
    <t xml:space="preserve">         Total 2900 General Maintenance</t>
  </si>
  <si>
    <t xml:space="preserve">      Total 2500.00 Camp Operating Expenses</t>
  </si>
  <si>
    <t xml:space="preserve">   Total 2111 CAMP WHITMAN EXPENDITURES</t>
  </si>
  <si>
    <t xml:space="preserve">Gains/Interest/losses - New Covenant  </t>
  </si>
  <si>
    <t>Net Operating/Missions- income/expenses</t>
  </si>
  <si>
    <t>Net Other Other - Investment gains/losses</t>
  </si>
  <si>
    <t>Net Other Income/other expenses</t>
  </si>
  <si>
    <t>Profit and Loss</t>
  </si>
  <si>
    <t>January - February, 2023</t>
  </si>
  <si>
    <t>Camp</t>
  </si>
  <si>
    <t>Dedicated</t>
  </si>
  <si>
    <t>Missions</t>
  </si>
  <si>
    <t>Operations</t>
  </si>
  <si>
    <t>TOTAL</t>
  </si>
  <si>
    <t xml:space="preserve">         3101_M PM - YTD A/R Adj</t>
  </si>
  <si>
    <t xml:space="preserve">            4202_O PC - YTD A/R Adj</t>
  </si>
  <si>
    <t xml:space="preserve">            4500_O Interest Income</t>
  </si>
  <si>
    <t xml:space="preserve">   Services</t>
  </si>
  <si>
    <t xml:space="preserve">         2102_W Program Director</t>
  </si>
  <si>
    <t xml:space="preserve">         2125_W Payroll Taxes - Camp</t>
  </si>
  <si>
    <t xml:space="preserve">         2099_W Uncategorized Expense - Camp</t>
  </si>
  <si>
    <t xml:space="preserve">         2205_W BankFees/Commissions</t>
  </si>
  <si>
    <t xml:space="preserve">               6056_O Board of Pensions/Medical</t>
  </si>
  <si>
    <t xml:space="preserve">               6058_M Travel/Business - Mission</t>
  </si>
  <si>
    <t xml:space="preserve">            6023_O Payroll Taxes</t>
  </si>
  <si>
    <t xml:space="preserve">            6031_O Cash Salary - Communications</t>
  </si>
  <si>
    <t xml:space="preserve">            6041_O Cash Salary (Financial Assistant)</t>
  </si>
  <si>
    <t xml:space="preserve">            6265_O Payroll Taxes - Admin Services</t>
  </si>
  <si>
    <t xml:space="preserve">         Total 6030_O Administrative Service</t>
  </si>
  <si>
    <t xml:space="preserve">            99999_O Uncatergorized Expenses</t>
  </si>
  <si>
    <t xml:space="preserve">            6756_O Home Office Reimbursement</t>
  </si>
  <si>
    <t>Other Income</t>
  </si>
  <si>
    <t xml:space="preserve">   7000 DEDICATED INCOME</t>
  </si>
  <si>
    <t xml:space="preserve">      7111_D Camp _ TR</t>
  </si>
  <si>
    <t xml:space="preserve">         7003_D Capital Campaign</t>
  </si>
  <si>
    <t xml:space="preserve">      Total 7111_D Camp _ TR</t>
  </si>
  <si>
    <t xml:space="preserve">      7150_D Two-Cents-A-Meal</t>
  </si>
  <si>
    <t xml:space="preserve">      7250_D Peacemaking</t>
  </si>
  <si>
    <t xml:space="preserve">      7325_D In &amp; Out</t>
  </si>
  <si>
    <t xml:space="preserve">      7350_D Camp Whitman Endowment/Scholarships</t>
  </si>
  <si>
    <t xml:space="preserve">         7351_D Hammondsport Scholarship</t>
  </si>
  <si>
    <t xml:space="preserve">      Total 7350_D Camp Whitman Endowment/Scholarships</t>
  </si>
  <si>
    <t xml:space="preserve">   Total 7000 DEDICATED INCOME</t>
  </si>
  <si>
    <t>Total Other Income</t>
  </si>
  <si>
    <t>Other Expenses</t>
  </si>
  <si>
    <t xml:space="preserve">   8000 DEDICATED EXPENSES</t>
  </si>
  <si>
    <t xml:space="preserve">      8111_D Camp - TR</t>
  </si>
  <si>
    <t xml:space="preserve">         8002_D CW Maintenance Fund</t>
  </si>
  <si>
    <t xml:space="preserve">         8195_D Capital Campaign</t>
  </si>
  <si>
    <t xml:space="preserve">      Total 8111_D Camp - TR</t>
  </si>
  <si>
    <t xml:space="preserve">   Total 8000 DEDICATED EXPENSES</t>
  </si>
  <si>
    <t>Total Other Expenses</t>
  </si>
  <si>
    <t>Net 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</si>
</sst>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* #,##0.00\ _€"/>
    <numFmt numFmtId="166" formatCode="#,##0.00\ _€"/>
    <numFmt numFmtId="167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indexed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2" applyFont="1"/>
    <xf numFmtId="0" fontId="5" fillId="0" borderId="0" xfId="0" applyFont="1"/>
    <xf numFmtId="17" fontId="6" fillId="0" borderId="0" xfId="2" applyNumberFormat="1" applyFont="1" applyAlignment="1">
      <alignment horizontal="center" vertical="top"/>
    </xf>
    <xf numFmtId="0" fontId="4" fillId="0" borderId="1" xfId="2" applyFont="1" applyBorder="1" applyAlignment="1">
      <alignment horizontal="center" wrapText="1"/>
    </xf>
    <xf numFmtId="8" fontId="4" fillId="0" borderId="1" xfId="2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0" xfId="2" applyFont="1" applyAlignment="1">
      <alignment horizontal="center"/>
    </xf>
    <xf numFmtId="8" fontId="8" fillId="0" borderId="2" xfId="2" applyNumberFormat="1" applyFont="1" applyBorder="1" applyAlignment="1">
      <alignment horizontal="right"/>
    </xf>
    <xf numFmtId="0" fontId="9" fillId="0" borderId="0" xfId="2" applyFont="1"/>
    <xf numFmtId="8" fontId="9" fillId="0" borderId="2" xfId="2" applyNumberFormat="1" applyFont="1" applyBorder="1" applyAlignment="1">
      <alignment horizontal="right"/>
    </xf>
    <xf numFmtId="8" fontId="4" fillId="0" borderId="2" xfId="2" applyNumberFormat="1" applyFont="1" applyBorder="1" applyAlignment="1">
      <alignment horizontal="right"/>
    </xf>
    <xf numFmtId="0" fontId="9" fillId="0" borderId="0" xfId="2" applyFont="1" applyAlignment="1">
      <alignment horizontal="left" indent="2"/>
    </xf>
    <xf numFmtId="8" fontId="9" fillId="2" borderId="2" xfId="2" applyNumberFormat="1" applyFont="1" applyFill="1" applyBorder="1" applyAlignment="1">
      <alignment horizontal="right"/>
    </xf>
    <xf numFmtId="164" fontId="5" fillId="0" borderId="0" xfId="1" applyNumberFormat="1" applyFont="1"/>
    <xf numFmtId="165" fontId="10" fillId="0" borderId="3" xfId="0" applyNumberFormat="1" applyFont="1" applyBorder="1" applyAlignment="1">
      <alignment horizontal="right" wrapText="1"/>
    </xf>
    <xf numFmtId="8" fontId="5" fillId="0" borderId="0" xfId="0" applyNumberFormat="1" applyFont="1"/>
    <xf numFmtId="0" fontId="4" fillId="0" borderId="0" xfId="2" applyFont="1" applyAlignment="1">
      <alignment horizontal="left" indent="2"/>
    </xf>
    <xf numFmtId="0" fontId="9" fillId="0" borderId="0" xfId="2" applyFont="1" applyAlignment="1">
      <alignment horizontal="left" indent="3"/>
    </xf>
    <xf numFmtId="8" fontId="9" fillId="0" borderId="4" xfId="2" applyNumberFormat="1" applyFont="1" applyBorder="1" applyAlignment="1">
      <alignment horizontal="right"/>
    </xf>
    <xf numFmtId="8" fontId="9" fillId="0" borderId="5" xfId="2" applyNumberFormat="1" applyFont="1" applyBorder="1" applyAlignment="1">
      <alignment horizontal="right"/>
    </xf>
    <xf numFmtId="0" fontId="4" fillId="0" borderId="0" xfId="2" applyFont="1" applyAlignment="1">
      <alignment horizontal="left" indent="4"/>
    </xf>
    <xf numFmtId="8" fontId="4" fillId="0" borderId="6" xfId="2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 wrapText="1"/>
    </xf>
    <xf numFmtId="165" fontId="9" fillId="0" borderId="2" xfId="2" applyNumberFormat="1" applyFont="1" applyBorder="1" applyAlignment="1">
      <alignment horizontal="right"/>
    </xf>
    <xf numFmtId="0" fontId="4" fillId="0" borderId="7" xfId="2" applyFont="1" applyBorder="1"/>
    <xf numFmtId="8" fontId="4" fillId="0" borderId="8" xfId="2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165" fontId="12" fillId="0" borderId="3" xfId="0" applyNumberFormat="1" applyFont="1" applyBorder="1" applyAlignment="1">
      <alignment horizontal="right" wrapText="1"/>
    </xf>
    <xf numFmtId="0" fontId="9" fillId="0" borderId="0" xfId="2" applyFont="1" applyAlignment="1">
      <alignment horizontal="left" wrapText="1" indent="3"/>
    </xf>
    <xf numFmtId="0" fontId="7" fillId="0" borderId="0" xfId="0" applyFont="1" applyAlignment="1">
      <alignment horizontal="center"/>
    </xf>
    <xf numFmtId="8" fontId="13" fillId="0" borderId="2" xfId="2" applyNumberFormat="1" applyFont="1" applyBorder="1" applyAlignment="1">
      <alignment horizontal="right"/>
    </xf>
    <xf numFmtId="8" fontId="9" fillId="0" borderId="9" xfId="2" applyNumberFormat="1" applyFont="1" applyBorder="1" applyAlignment="1">
      <alignment horizontal="right"/>
    </xf>
    <xf numFmtId="8" fontId="9" fillId="0" borderId="0" xfId="2" applyNumberFormat="1" applyFont="1" applyAlignment="1">
      <alignment horizontal="right"/>
    </xf>
    <xf numFmtId="8" fontId="9" fillId="0" borderId="10" xfId="2" applyNumberFormat="1" applyFont="1" applyBorder="1" applyAlignment="1">
      <alignment horizontal="right"/>
    </xf>
    <xf numFmtId="0" fontId="4" fillId="0" borderId="10" xfId="2" applyFont="1" applyBorder="1" applyAlignment="1">
      <alignment horizontal="left" indent="4"/>
    </xf>
    <xf numFmtId="0" fontId="4" fillId="0" borderId="0" xfId="2" applyFont="1" applyAlignment="1">
      <alignment horizontal="center"/>
    </xf>
    <xf numFmtId="167" fontId="5" fillId="0" borderId="0" xfId="0" applyNumberFormat="1" applyFont="1"/>
    <xf numFmtId="167" fontId="9" fillId="0" borderId="2" xfId="2" applyNumberFormat="1" applyFont="1" applyBorder="1" applyAlignment="1">
      <alignment horizontal="right"/>
    </xf>
    <xf numFmtId="0" fontId="13" fillId="0" borderId="0" xfId="2" applyFont="1" applyAlignment="1">
      <alignment horizontal="left" indent="2"/>
    </xf>
    <xf numFmtId="167" fontId="13" fillId="0" borderId="2" xfId="2" applyNumberFormat="1" applyFont="1" applyBorder="1" applyAlignment="1">
      <alignment horizontal="right"/>
    </xf>
    <xf numFmtId="49" fontId="14" fillId="0" borderId="0" xfId="2" applyNumberFormat="1" applyFont="1" applyAlignment="1">
      <alignment horizontal="left" indent="2"/>
    </xf>
    <xf numFmtId="0" fontId="4" fillId="0" borderId="10" xfId="0" applyFont="1" applyBorder="1" applyAlignment="1">
      <alignment horizontal="left"/>
    </xf>
    <xf numFmtId="8" fontId="4" fillId="0" borderId="2" xfId="0" applyNumberFormat="1" applyFont="1" applyBorder="1" applyAlignment="1">
      <alignment horizontal="right"/>
    </xf>
    <xf numFmtId="0" fontId="4" fillId="0" borderId="10" xfId="2" applyFont="1" applyBorder="1" applyAlignment="1">
      <alignment horizontal="left"/>
    </xf>
    <xf numFmtId="8" fontId="4" fillId="0" borderId="0" xfId="2" applyNumberFormat="1" applyFont="1" applyAlignment="1">
      <alignment horizontal="right"/>
    </xf>
    <xf numFmtId="8" fontId="4" fillId="0" borderId="0" xfId="2" applyNumberFormat="1" applyFont="1"/>
    <xf numFmtId="0" fontId="4" fillId="0" borderId="0" xfId="2" applyFont="1" applyAlignment="1">
      <alignment horizontal="center" wrapText="1"/>
    </xf>
    <xf numFmtId="8" fontId="4" fillId="2" borderId="0" xfId="2" applyNumberFormat="1" applyFont="1" applyFill="1"/>
    <xf numFmtId="0" fontId="5" fillId="0" borderId="11" xfId="0" applyFont="1" applyBorder="1"/>
    <xf numFmtId="38" fontId="9" fillId="0" borderId="0" xfId="2" applyNumberFormat="1" applyFont="1"/>
    <xf numFmtId="0" fontId="9" fillId="0" borderId="3" xfId="2" applyFont="1" applyBorder="1"/>
    <xf numFmtId="8" fontId="9" fillId="0" borderId="3" xfId="2" applyNumberFormat="1" applyFont="1" applyBorder="1"/>
    <xf numFmtId="8" fontId="9" fillId="0" borderId="0" xfId="3" applyNumberFormat="1" applyFont="1" applyBorder="1"/>
    <xf numFmtId="0" fontId="9" fillId="0" borderId="11" xfId="2" applyFont="1" applyBorder="1"/>
    <xf numFmtId="8" fontId="9" fillId="0" borderId="11" xfId="3" applyNumberFormat="1" applyFont="1" applyBorder="1"/>
    <xf numFmtId="8" fontId="9" fillId="0" borderId="0" xfId="2" applyNumberFormat="1" applyFont="1"/>
    <xf numFmtId="0" fontId="17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11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66" fontId="20" fillId="0" borderId="0" xfId="0" applyNumberFormat="1" applyFont="1" applyAlignment="1">
      <alignment wrapText="1"/>
    </xf>
    <xf numFmtId="166" fontId="20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/>
    </xf>
    <xf numFmtId="17" fontId="18" fillId="0" borderId="0" xfId="0" applyNumberFormat="1" applyFont="1" applyAlignment="1">
      <alignment horizontal="center"/>
    </xf>
    <xf numFmtId="165" fontId="12" fillId="2" borderId="3" xfId="0" applyNumberFormat="1" applyFont="1" applyFill="1" applyBorder="1" applyAlignment="1">
      <alignment horizontal="right" wrapText="1"/>
    </xf>
    <xf numFmtId="165" fontId="12" fillId="0" borderId="0" xfId="0" applyNumberFormat="1" applyFont="1" applyAlignment="1">
      <alignment horizontal="right" wrapText="1"/>
    </xf>
    <xf numFmtId="166" fontId="12" fillId="0" borderId="0" xfId="0" applyNumberFormat="1" applyFont="1" applyAlignment="1">
      <alignment horizontal="right" wrapText="1"/>
    </xf>
    <xf numFmtId="4" fontId="0" fillId="0" borderId="0" xfId="0" applyNumberFormat="1"/>
    <xf numFmtId="4" fontId="2" fillId="3" borderId="12" xfId="0" applyNumberFormat="1" applyFont="1" applyFill="1" applyBorder="1"/>
    <xf numFmtId="0" fontId="0" fillId="0" borderId="0" xfId="0" applyAlignment="1"/>
    <xf numFmtId="0" fontId="0" fillId="3" borderId="0" xfId="0" applyFill="1" applyAlignment="1"/>
    <xf numFmtId="0" fontId="19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wrapText="1"/>
    </xf>
    <xf numFmtId="4" fontId="20" fillId="3" borderId="0" xfId="0" applyNumberFormat="1" applyFont="1" applyFill="1" applyAlignment="1">
      <alignment wrapText="1"/>
    </xf>
    <xf numFmtId="166" fontId="12" fillId="0" borderId="0" xfId="0" applyNumberFormat="1" applyFont="1" applyAlignment="1">
      <alignment wrapText="1"/>
    </xf>
    <xf numFmtId="4" fontId="0" fillId="0" borderId="11" xfId="0" applyNumberFormat="1" applyBorder="1"/>
    <xf numFmtId="0" fontId="21" fillId="0" borderId="13" xfId="0" applyFont="1" applyBorder="1" applyAlignment="1"/>
  </cellXfs>
  <cellStyles count="4">
    <cellStyle name="Currency 2" xfId="3" xr:uid="{B432ED6D-9D69-4AFD-9F62-1C77E225D401}"/>
    <cellStyle name="Normal" xfId="0" builtinId="0"/>
    <cellStyle name="Normal 2" xfId="2" xr:uid="{EDBEF254-5DEA-4298-9C81-4CC9C4E36E5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28575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51201"/>
            </a:ext>
            <a:ext uri="{FF2B5EF4-FFF2-40B4-BE49-F238E27FC236}">
              <a16:creationId xmlns:a16="http://schemas.microsoft.com/office/drawing/2014/main" id="{F6ADBE8B-43F0-48C0-A389-0EE7D9B67D7E}"/>
            </a:ext>
          </a:extLst>
        </xdr:cNvPr>
        <xdr:cNvSpPr/>
      </xdr:nvSpPr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28575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51202"/>
            </a:ext>
            <a:ext uri="{FF2B5EF4-FFF2-40B4-BE49-F238E27FC236}">
              <a16:creationId xmlns:a16="http://schemas.microsoft.com/office/drawing/2014/main" id="{4B3941BC-A408-417F-98F3-2DAA110705B8}"/>
            </a:ext>
          </a:extLst>
        </xdr:cNvPr>
        <xdr:cNvSpPr/>
      </xdr:nvSpPr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28575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2A45F299-C6E6-4793-8A04-49D8B0E231B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28575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6455CDFB-184F-4933-AA32-18113C9112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Tom\Christ%20the%20King%20Fellowship\Presbytery%20of%20Geneva\Copy%20of%20PresbyteryGeneva_FS_Feb_2023.xlsx" TargetMode="External"/><Relationship Id="rId1" Type="http://schemas.openxmlformats.org/officeDocument/2006/relationships/externalLinkPath" Target="Copy%20of%20PresbyteryGeneva_FS_Feb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 Sheet"/>
      <sheetName val="Summary Update updated"/>
      <sheetName val="PL Budget Mission &amp; Operations"/>
      <sheetName val="Camp YTD Budget"/>
      <sheetName val="class report"/>
      <sheetName val="Reserve Fund Summary"/>
      <sheetName val="Reserve Funds (Net Assets)"/>
      <sheetName val="New Covenant"/>
      <sheetName val="AR 2023"/>
      <sheetName val="details missions"/>
      <sheetName val="details operations"/>
      <sheetName val="dedicated details"/>
      <sheetName val="camp details"/>
    </sheetNames>
    <sheetDataSet>
      <sheetData sheetId="0"/>
      <sheetData sheetId="1"/>
      <sheetData sheetId="2"/>
      <sheetData sheetId="3">
        <row r="175">
          <cell r="C175">
            <v>33026.06</v>
          </cell>
        </row>
        <row r="181">
          <cell r="B181">
            <v>0</v>
          </cell>
        </row>
        <row r="182">
          <cell r="B182">
            <v>48373.31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2E48-0483-4D6E-BD78-031AAB98CAAD}">
  <dimension ref="A1:I64"/>
  <sheetViews>
    <sheetView topLeftCell="A6" workbookViewId="0">
      <selection activeCell="C50" sqref="C50"/>
    </sheetView>
  </sheetViews>
  <sheetFormatPr defaultRowHeight="15" x14ac:dyDescent="0.25"/>
  <cols>
    <col min="1" max="1" width="34.85546875" bestFit="1" customWidth="1"/>
    <col min="2" max="2" width="14" bestFit="1" customWidth="1"/>
    <col min="3" max="3" width="13.28515625" bestFit="1" customWidth="1"/>
    <col min="5" max="5" width="12.5703125" bestFit="1" customWidth="1"/>
    <col min="6" max="6" width="13.28515625" bestFit="1" customWidth="1"/>
  </cols>
  <sheetData>
    <row r="1" spans="1:9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5.75" x14ac:dyDescent="0.25">
      <c r="A2" s="1"/>
      <c r="B2" s="1"/>
      <c r="C2" s="1"/>
      <c r="D2" s="1"/>
      <c r="E2" s="2"/>
      <c r="F2" s="2"/>
      <c r="G2" s="2"/>
      <c r="H2" s="2"/>
      <c r="I2" s="2"/>
    </row>
    <row r="3" spans="1:9" ht="32.25" thickBot="1" x14ac:dyDescent="0.3">
      <c r="A3" s="3" t="s">
        <v>1</v>
      </c>
      <c r="B3" s="4">
        <v>2023</v>
      </c>
      <c r="C3" s="4">
        <v>2023</v>
      </c>
      <c r="D3" s="5"/>
      <c r="E3" s="5" t="s">
        <v>2</v>
      </c>
      <c r="F3" s="5" t="s">
        <v>3</v>
      </c>
      <c r="G3" s="2"/>
      <c r="H3" s="6">
        <v>2023</v>
      </c>
      <c r="I3" s="6">
        <v>2022</v>
      </c>
    </row>
    <row r="4" spans="1:9" ht="15.75" x14ac:dyDescent="0.25">
      <c r="A4" s="7" t="s">
        <v>4</v>
      </c>
      <c r="B4" s="8"/>
      <c r="C4" s="8"/>
      <c r="D4" s="8"/>
      <c r="E4" s="8"/>
      <c r="F4" s="8"/>
      <c r="G4" s="2"/>
      <c r="H4" s="2"/>
      <c r="I4" s="2"/>
    </row>
    <row r="5" spans="1:9" ht="15.75" x14ac:dyDescent="0.25">
      <c r="A5" s="9"/>
      <c r="B5" s="10"/>
      <c r="C5" s="10"/>
      <c r="D5" s="10"/>
      <c r="E5" s="10"/>
      <c r="F5" s="10"/>
      <c r="G5" s="2"/>
      <c r="H5" s="2"/>
      <c r="I5" s="2"/>
    </row>
    <row r="6" spans="1:9" ht="15.75" x14ac:dyDescent="0.25">
      <c r="A6" s="1" t="s">
        <v>5</v>
      </c>
      <c r="B6" s="11"/>
      <c r="C6" s="11"/>
      <c r="D6" s="11"/>
      <c r="E6" s="11"/>
      <c r="F6" s="11"/>
      <c r="G6" s="2"/>
      <c r="H6" s="2"/>
      <c r="I6" s="2"/>
    </row>
    <row r="7" spans="1:9" ht="15.75" x14ac:dyDescent="0.25">
      <c r="A7" s="12" t="s">
        <v>6</v>
      </c>
      <c r="B7" s="10">
        <v>19826.75</v>
      </c>
      <c r="C7" s="10">
        <v>180350</v>
      </c>
      <c r="D7" s="10"/>
      <c r="E7" s="10">
        <v>10893.83</v>
      </c>
      <c r="F7" s="13">
        <v>197350</v>
      </c>
      <c r="G7" s="2"/>
      <c r="H7" s="14">
        <f>B7/C7</f>
        <v>0.10993484890490712</v>
      </c>
      <c r="I7" s="14">
        <f>E7/F7</f>
        <v>5.5200557385355967E-2</v>
      </c>
    </row>
    <row r="8" spans="1:9" ht="15.75" x14ac:dyDescent="0.25">
      <c r="A8" s="12" t="s">
        <v>7</v>
      </c>
      <c r="B8" s="15">
        <v>8686.25</v>
      </c>
      <c r="C8" s="10">
        <v>159000</v>
      </c>
      <c r="D8" s="10"/>
      <c r="E8" s="16">
        <v>22912.22</v>
      </c>
      <c r="F8" s="10">
        <v>150000</v>
      </c>
      <c r="G8" s="2"/>
      <c r="H8" s="14">
        <f>B8/C8</f>
        <v>5.4630503144654091E-2</v>
      </c>
      <c r="I8" s="14">
        <f>E8/F8</f>
        <v>0.15274813333333334</v>
      </c>
    </row>
    <row r="9" spans="1:9" ht="15.75" x14ac:dyDescent="0.25">
      <c r="A9" s="12"/>
      <c r="B9" s="10"/>
      <c r="C9" s="10"/>
      <c r="D9" s="10"/>
      <c r="E9" s="10"/>
      <c r="F9" s="10"/>
      <c r="G9" s="2"/>
      <c r="H9" s="2"/>
      <c r="I9" s="2"/>
    </row>
    <row r="10" spans="1:9" ht="15.75" x14ac:dyDescent="0.25">
      <c r="A10" s="17" t="s">
        <v>8</v>
      </c>
      <c r="B10" s="10"/>
      <c r="C10" s="10"/>
      <c r="D10" s="10"/>
      <c r="E10" s="10"/>
      <c r="F10" s="10"/>
      <c r="G10" s="2"/>
      <c r="H10" s="2"/>
      <c r="I10" s="2"/>
    </row>
    <row r="11" spans="1:9" ht="15.75" x14ac:dyDescent="0.25">
      <c r="A11" s="12"/>
      <c r="B11" s="10"/>
      <c r="C11" s="10"/>
      <c r="D11" s="10"/>
      <c r="E11" s="10"/>
      <c r="F11" s="10"/>
      <c r="G11" s="2"/>
      <c r="H11" s="2"/>
      <c r="I11" s="2"/>
    </row>
    <row r="12" spans="1:9" ht="15.75" x14ac:dyDescent="0.25">
      <c r="A12" s="12" t="s">
        <v>9</v>
      </c>
      <c r="B12" s="10">
        <v>5002.51</v>
      </c>
      <c r="C12" s="10">
        <v>5100</v>
      </c>
      <c r="D12" s="10"/>
      <c r="E12" s="10">
        <v>2.5099999999999998</v>
      </c>
      <c r="F12" s="10">
        <v>100</v>
      </c>
      <c r="G12" s="2"/>
      <c r="H12" s="2"/>
      <c r="I12" s="2"/>
    </row>
    <row r="13" spans="1:9" ht="15.75" x14ac:dyDescent="0.25">
      <c r="A13" s="18"/>
      <c r="B13" s="19"/>
      <c r="C13" s="20"/>
      <c r="D13" s="10"/>
      <c r="E13" s="19"/>
      <c r="F13" s="19"/>
      <c r="G13" s="2"/>
      <c r="H13" s="2"/>
      <c r="I13" s="2"/>
    </row>
    <row r="14" spans="1:9" ht="15.75" x14ac:dyDescent="0.25">
      <c r="A14" s="12" t="s">
        <v>8</v>
      </c>
      <c r="B14" s="10">
        <v>0</v>
      </c>
      <c r="C14" s="10">
        <f>SUM(C11:C13)</f>
        <v>5100</v>
      </c>
      <c r="D14" s="10"/>
      <c r="E14" s="10">
        <f>SUM(E11:E13)</f>
        <v>2.5099999999999998</v>
      </c>
      <c r="F14" s="10">
        <f>SUM(F11:F13)</f>
        <v>100</v>
      </c>
      <c r="G14" s="2"/>
      <c r="H14" s="2"/>
      <c r="I14" s="2"/>
    </row>
    <row r="15" spans="1:9" ht="15.75" x14ac:dyDescent="0.25">
      <c r="A15" s="21" t="s">
        <v>10</v>
      </c>
      <c r="B15" s="22">
        <f>SUM(B7:B12)</f>
        <v>33515.51</v>
      </c>
      <c r="C15" s="22">
        <f>C7+C8+C14</f>
        <v>344450</v>
      </c>
      <c r="D15" s="22"/>
      <c r="E15" s="22">
        <f>SUM(E7:E12)</f>
        <v>33808.560000000005</v>
      </c>
      <c r="F15" s="22">
        <f>F7+F8+F14</f>
        <v>347450</v>
      </c>
      <c r="G15" s="2"/>
      <c r="H15" s="2"/>
      <c r="I15" s="2"/>
    </row>
    <row r="16" spans="1:9" ht="15.75" x14ac:dyDescent="0.25">
      <c r="A16" s="2"/>
      <c r="B16" s="10"/>
      <c r="C16" s="10"/>
      <c r="D16" s="10"/>
      <c r="E16" s="10"/>
      <c r="F16" s="10"/>
      <c r="G16" s="2"/>
      <c r="H16" s="2"/>
      <c r="I16" s="2"/>
    </row>
    <row r="17" spans="1:9" ht="15.75" x14ac:dyDescent="0.25">
      <c r="A17" s="1" t="s">
        <v>11</v>
      </c>
      <c r="B17" s="11"/>
      <c r="C17" s="11"/>
      <c r="D17" s="11"/>
      <c r="E17" s="11"/>
      <c r="F17" s="11"/>
      <c r="G17" s="2"/>
      <c r="H17" s="2"/>
      <c r="I17" s="2"/>
    </row>
    <row r="18" spans="1:9" ht="15.75" x14ac:dyDescent="0.25">
      <c r="A18" s="9" t="s">
        <v>12</v>
      </c>
      <c r="B18" s="15">
        <v>20135</v>
      </c>
      <c r="C18" s="10">
        <v>179000</v>
      </c>
      <c r="D18" s="10"/>
      <c r="E18" s="23">
        <v>18160</v>
      </c>
      <c r="F18" s="10">
        <v>167000</v>
      </c>
      <c r="G18" s="2"/>
      <c r="H18" s="2"/>
      <c r="I18" s="2"/>
    </row>
    <row r="19" spans="1:9" ht="15.75" x14ac:dyDescent="0.25">
      <c r="A19" s="9" t="s">
        <v>13</v>
      </c>
      <c r="B19" s="20">
        <v>15000</v>
      </c>
      <c r="C19" s="10">
        <v>90000</v>
      </c>
      <c r="D19" s="10"/>
      <c r="E19" s="10">
        <v>15000</v>
      </c>
      <c r="F19" s="10">
        <v>90000</v>
      </c>
      <c r="G19" s="2"/>
      <c r="H19" s="2"/>
      <c r="I19" s="2"/>
    </row>
    <row r="20" spans="1:9" ht="15.75" x14ac:dyDescent="0.25">
      <c r="A20" s="9"/>
      <c r="B20" s="2"/>
      <c r="C20" s="2"/>
      <c r="D20" s="10"/>
      <c r="E20" s="10"/>
      <c r="F20" s="10"/>
      <c r="G20" s="2"/>
      <c r="H20" s="2"/>
      <c r="I20" s="2"/>
    </row>
    <row r="21" spans="1:9" ht="15.75" x14ac:dyDescent="0.25">
      <c r="A21" s="9" t="s">
        <v>14</v>
      </c>
      <c r="B21" s="15">
        <v>18381.169999999998</v>
      </c>
      <c r="C21" s="19">
        <v>76186.399999999994</v>
      </c>
      <c r="D21" s="19"/>
      <c r="E21" s="19">
        <v>9155.4599999999991</v>
      </c>
      <c r="F21" s="19">
        <v>0</v>
      </c>
      <c r="G21" s="2"/>
      <c r="H21" s="2"/>
      <c r="I21" s="2"/>
    </row>
    <row r="22" spans="1:9" ht="15.75" x14ac:dyDescent="0.25">
      <c r="A22" s="21" t="s">
        <v>15</v>
      </c>
      <c r="B22" s="24">
        <f>SUM(B17:B21)</f>
        <v>53516.17</v>
      </c>
      <c r="C22" s="11">
        <f>SUM(C18:C21)</f>
        <v>345186.4</v>
      </c>
      <c r="D22" s="11"/>
      <c r="E22" s="11">
        <f>SUM(E17:E21)</f>
        <v>42315.46</v>
      </c>
      <c r="F22" s="11">
        <f>SUM(F18:F21)</f>
        <v>257000</v>
      </c>
      <c r="G22" s="2"/>
      <c r="H22" s="2"/>
      <c r="I22" s="2"/>
    </row>
    <row r="23" spans="1:9" ht="15.75" x14ac:dyDescent="0.25">
      <c r="A23" s="21"/>
      <c r="B23" s="11"/>
      <c r="C23" s="11"/>
      <c r="D23" s="11"/>
      <c r="E23" s="11"/>
      <c r="F23" s="11"/>
      <c r="G23" s="2"/>
      <c r="H23" s="2"/>
      <c r="I23" s="2"/>
    </row>
    <row r="24" spans="1:9" ht="16.5" thickBot="1" x14ac:dyDescent="0.3">
      <c r="A24" s="25" t="s">
        <v>16</v>
      </c>
      <c r="B24" s="26">
        <f>B15+B22</f>
        <v>87031.679999999993</v>
      </c>
      <c r="C24" s="26">
        <f>C15+C22</f>
        <v>689636.4</v>
      </c>
      <c r="D24" s="26"/>
      <c r="E24" s="26">
        <f>E15+E22</f>
        <v>76124.02</v>
      </c>
      <c r="F24" s="26">
        <f>F15+F22</f>
        <v>604450</v>
      </c>
      <c r="G24" s="2"/>
      <c r="H24" s="2"/>
      <c r="I24" s="2"/>
    </row>
    <row r="25" spans="1:9" ht="15.75" x14ac:dyDescent="0.25">
      <c r="A25" s="9"/>
      <c r="B25" s="10"/>
      <c r="C25" s="10"/>
      <c r="D25" s="10"/>
      <c r="E25" s="10"/>
      <c r="F25" s="10"/>
      <c r="G25" s="2"/>
      <c r="H25" s="2"/>
      <c r="I25" s="2"/>
    </row>
    <row r="26" spans="1:9" ht="15.75" x14ac:dyDescent="0.25">
      <c r="A26" s="7" t="s">
        <v>17</v>
      </c>
      <c r="B26" s="8"/>
      <c r="C26" s="8"/>
      <c r="D26" s="8"/>
      <c r="E26" s="8"/>
      <c r="F26" s="8"/>
      <c r="G26" s="2"/>
      <c r="H26" s="2"/>
      <c r="I26" s="2"/>
    </row>
    <row r="27" spans="1:9" ht="15.75" x14ac:dyDescent="0.25">
      <c r="A27" s="9"/>
      <c r="B27" s="10"/>
      <c r="C27" s="10"/>
      <c r="D27" s="10"/>
      <c r="E27" s="10"/>
      <c r="F27" s="10"/>
      <c r="G27" s="2"/>
      <c r="H27" s="2"/>
      <c r="I27" s="2"/>
    </row>
    <row r="28" spans="1:9" ht="15.75" x14ac:dyDescent="0.25">
      <c r="A28" s="27" t="s">
        <v>18</v>
      </c>
      <c r="B28" s="10"/>
      <c r="C28" s="10"/>
      <c r="D28" s="10"/>
      <c r="E28" s="10"/>
      <c r="F28" s="10"/>
      <c r="G28" s="2"/>
      <c r="H28" s="2"/>
      <c r="I28" s="2"/>
    </row>
    <row r="29" spans="1:9" ht="15.75" x14ac:dyDescent="0.25">
      <c r="A29" s="12" t="s">
        <v>19</v>
      </c>
      <c r="B29" s="28">
        <v>21778.04</v>
      </c>
      <c r="C29" s="10">
        <v>134223.29</v>
      </c>
      <c r="D29" s="10"/>
      <c r="E29" s="10">
        <v>7807.55</v>
      </c>
      <c r="F29" s="10">
        <v>116271.49</v>
      </c>
      <c r="G29" s="2"/>
      <c r="H29" s="2"/>
      <c r="I29" s="2"/>
    </row>
    <row r="30" spans="1:9" ht="126" x14ac:dyDescent="0.25">
      <c r="A30" s="29" t="s">
        <v>20</v>
      </c>
      <c r="B30" s="10">
        <v>15000</v>
      </c>
      <c r="C30" s="10">
        <v>90000</v>
      </c>
      <c r="D30" s="10"/>
      <c r="E30" s="10">
        <v>15000</v>
      </c>
      <c r="F30" s="10">
        <v>90000</v>
      </c>
      <c r="G30" s="2"/>
      <c r="H30" s="2"/>
      <c r="I30" s="2"/>
    </row>
    <row r="31" spans="1:9" ht="15.75" x14ac:dyDescent="0.25">
      <c r="A31" s="29"/>
      <c r="B31" s="10"/>
      <c r="C31" s="10"/>
      <c r="D31" s="10"/>
      <c r="E31" s="10"/>
      <c r="F31" s="10"/>
      <c r="G31" s="2"/>
      <c r="H31" s="30"/>
      <c r="I31" s="30"/>
    </row>
    <row r="32" spans="1:9" ht="15.75" x14ac:dyDescent="0.25">
      <c r="A32" s="2"/>
      <c r="B32" s="31"/>
      <c r="C32" s="31"/>
      <c r="D32" s="10"/>
      <c r="E32" s="31"/>
      <c r="F32" s="31"/>
      <c r="G32" s="2"/>
      <c r="H32" s="2"/>
      <c r="I32" s="2"/>
    </row>
    <row r="33" spans="1:9" ht="15.75" x14ac:dyDescent="0.25">
      <c r="A33" s="12" t="s">
        <v>21</v>
      </c>
      <c r="B33" s="32"/>
      <c r="C33" s="33">
        <v>69000</v>
      </c>
      <c r="D33" s="34"/>
      <c r="E33" s="32">
        <v>250</v>
      </c>
      <c r="F33" s="33">
        <v>149000</v>
      </c>
      <c r="G33" s="2"/>
      <c r="H33" s="2"/>
      <c r="I33" s="2"/>
    </row>
    <row r="34" spans="1:9" ht="15.75" x14ac:dyDescent="0.25">
      <c r="A34" s="12" t="s">
        <v>22</v>
      </c>
      <c r="B34" s="32">
        <v>20554.64</v>
      </c>
      <c r="C34" s="32">
        <v>90087.61</v>
      </c>
      <c r="D34" s="32"/>
      <c r="E34" s="32">
        <v>9720.8700000000008</v>
      </c>
      <c r="F34" s="32">
        <v>0</v>
      </c>
      <c r="G34" s="2"/>
      <c r="H34" s="2"/>
      <c r="I34" s="2"/>
    </row>
    <row r="35" spans="1:9" ht="15.75" x14ac:dyDescent="0.25">
      <c r="A35" s="35" t="s">
        <v>23</v>
      </c>
      <c r="B35" s="22">
        <f>SUM(B29:B34)</f>
        <v>57332.68</v>
      </c>
      <c r="C35" s="22">
        <f>SUM(C29:C34)</f>
        <v>383310.9</v>
      </c>
      <c r="D35" s="22"/>
      <c r="E35" s="22">
        <f t="shared" ref="E35:F35" si="0">SUM(E29:E34)</f>
        <v>32778.42</v>
      </c>
      <c r="F35" s="22">
        <f t="shared" si="0"/>
        <v>355271.49</v>
      </c>
      <c r="G35" s="2"/>
      <c r="H35" s="2"/>
      <c r="I35" s="2"/>
    </row>
    <row r="36" spans="1:9" ht="15.75" x14ac:dyDescent="0.25">
      <c r="A36" s="36"/>
      <c r="B36" s="11"/>
      <c r="C36" s="11"/>
      <c r="D36" s="11"/>
      <c r="E36" s="11"/>
      <c r="F36" s="11"/>
      <c r="G36" s="2"/>
      <c r="H36" s="2"/>
      <c r="I36" s="2"/>
    </row>
    <row r="37" spans="1:9" ht="15.75" x14ac:dyDescent="0.25">
      <c r="A37" s="27" t="s">
        <v>24</v>
      </c>
      <c r="B37" s="11"/>
      <c r="C37" s="11"/>
      <c r="D37" s="11"/>
      <c r="E37" s="11"/>
      <c r="F37" s="11"/>
      <c r="G37" s="2"/>
      <c r="H37" s="2"/>
      <c r="I37" s="2"/>
    </row>
    <row r="38" spans="1:9" ht="15.75" x14ac:dyDescent="0.25">
      <c r="A38" s="12" t="s">
        <v>25</v>
      </c>
      <c r="B38" s="10">
        <v>14334.05</v>
      </c>
      <c r="C38" s="37">
        <v>131880</v>
      </c>
      <c r="D38" s="10"/>
      <c r="E38" s="10">
        <v>15546.86</v>
      </c>
      <c r="F38" s="37">
        <v>128000</v>
      </c>
      <c r="G38" s="2"/>
      <c r="H38" s="2"/>
      <c r="I38" s="2"/>
    </row>
    <row r="39" spans="1:9" ht="15.75" x14ac:dyDescent="0.25">
      <c r="A39" s="12" t="s">
        <v>26</v>
      </c>
      <c r="B39" s="10">
        <v>1701.5</v>
      </c>
      <c r="C39" s="38">
        <v>64700</v>
      </c>
      <c r="D39" s="10"/>
      <c r="E39" s="10">
        <v>1260</v>
      </c>
      <c r="F39" s="38">
        <v>87880</v>
      </c>
      <c r="G39" s="2"/>
      <c r="H39" s="2"/>
      <c r="I39" s="2"/>
    </row>
    <row r="40" spans="1:9" ht="15.75" x14ac:dyDescent="0.25">
      <c r="A40" s="12" t="s">
        <v>27</v>
      </c>
      <c r="B40" s="10">
        <v>1519.37</v>
      </c>
      <c r="C40" s="38">
        <v>24056.400000000001</v>
      </c>
      <c r="D40" s="10"/>
      <c r="E40" s="10">
        <v>1651.46</v>
      </c>
      <c r="F40" s="38">
        <v>28108.400000000001</v>
      </c>
      <c r="G40" s="2"/>
      <c r="H40" s="2"/>
      <c r="I40" s="2"/>
    </row>
    <row r="41" spans="1:9" ht="15.75" x14ac:dyDescent="0.25">
      <c r="A41" s="12" t="s">
        <v>28</v>
      </c>
      <c r="B41" s="10"/>
      <c r="C41" s="38">
        <v>34900</v>
      </c>
      <c r="D41" s="10"/>
      <c r="E41" s="10"/>
      <c r="F41" s="38"/>
      <c r="G41" s="2"/>
      <c r="H41" s="2"/>
      <c r="I41" s="2"/>
    </row>
    <row r="42" spans="1:9" ht="15.75" x14ac:dyDescent="0.25">
      <c r="A42" s="39" t="s">
        <v>29</v>
      </c>
      <c r="B42" s="31">
        <v>2652.92</v>
      </c>
      <c r="C42" s="40">
        <v>48350</v>
      </c>
      <c r="D42" s="31"/>
      <c r="E42" s="31">
        <v>2370.48</v>
      </c>
      <c r="F42" s="40">
        <v>39100</v>
      </c>
      <c r="G42" s="2"/>
      <c r="H42" s="2"/>
      <c r="I42" s="2"/>
    </row>
    <row r="43" spans="1:9" ht="15.75" x14ac:dyDescent="0.25">
      <c r="A43" s="41" t="s">
        <v>30</v>
      </c>
      <c r="B43" s="31">
        <v>282.27</v>
      </c>
      <c r="C43" s="40">
        <v>41300</v>
      </c>
      <c r="D43" s="31"/>
      <c r="E43" s="31">
        <v>386.48</v>
      </c>
      <c r="F43" s="40">
        <v>36000</v>
      </c>
      <c r="G43" s="2"/>
      <c r="H43" s="2"/>
      <c r="I43" s="2"/>
    </row>
    <row r="44" spans="1:9" ht="15.75" x14ac:dyDescent="0.25">
      <c r="A44" s="35" t="s">
        <v>31</v>
      </c>
      <c r="B44" s="22">
        <f>SUM(B38:B43)</f>
        <v>20490.109999999997</v>
      </c>
      <c r="C44" s="22">
        <f>SUM(C38:C43)</f>
        <v>345186.4</v>
      </c>
      <c r="D44" s="22"/>
      <c r="E44" s="22">
        <f>SUM(E38:E43)</f>
        <v>21215.279999999999</v>
      </c>
      <c r="F44" s="22">
        <f>SUM(F38:F43)</f>
        <v>319088.40000000002</v>
      </c>
      <c r="G44" s="2"/>
      <c r="H44" s="2"/>
      <c r="I44" s="2"/>
    </row>
    <row r="45" spans="1:9" ht="15.75" x14ac:dyDescent="0.25">
      <c r="A45" s="42"/>
      <c r="B45" s="43"/>
      <c r="C45" s="43"/>
      <c r="D45" s="43"/>
      <c r="E45" s="43"/>
      <c r="F45" s="43"/>
      <c r="G45" s="2"/>
      <c r="H45" s="2"/>
      <c r="I45" s="2"/>
    </row>
    <row r="46" spans="1:9" ht="15.75" x14ac:dyDescent="0.25">
      <c r="A46" s="42"/>
      <c r="B46" s="43"/>
      <c r="C46" s="43"/>
      <c r="D46" s="43"/>
      <c r="E46" s="43"/>
      <c r="F46" s="43"/>
      <c r="G46" s="2"/>
      <c r="H46" s="2"/>
      <c r="I46" s="2"/>
    </row>
    <row r="47" spans="1:9" ht="15.75" x14ac:dyDescent="0.25">
      <c r="A47" s="36"/>
      <c r="B47" s="11"/>
      <c r="C47" s="11"/>
      <c r="D47" s="11"/>
      <c r="E47" s="11"/>
      <c r="F47" s="11"/>
      <c r="G47" s="2"/>
      <c r="H47" s="2"/>
      <c r="I47" s="2"/>
    </row>
    <row r="48" spans="1:9" ht="16.5" thickBot="1" x14ac:dyDescent="0.3">
      <c r="A48" s="25" t="s">
        <v>32</v>
      </c>
      <c r="B48" s="26">
        <f>B35+B44</f>
        <v>77822.789999999994</v>
      </c>
      <c r="C48" s="26">
        <f>C35+C44+C46</f>
        <v>728497.3</v>
      </c>
      <c r="D48" s="26"/>
      <c r="E48" s="26">
        <f>E35+E44</f>
        <v>53993.7</v>
      </c>
      <c r="F48" s="26">
        <f>F35+F44+F46</f>
        <v>674359.89</v>
      </c>
      <c r="G48" s="2"/>
      <c r="H48" s="2"/>
      <c r="I48" s="2"/>
    </row>
    <row r="49" spans="1:9" ht="15.75" x14ac:dyDescent="0.25">
      <c r="A49" s="42"/>
      <c r="B49" s="43"/>
      <c r="C49" s="43"/>
      <c r="D49" s="43"/>
      <c r="E49" s="43"/>
      <c r="F49" s="43"/>
      <c r="G49" s="2"/>
      <c r="H49" s="2"/>
      <c r="I49" s="2"/>
    </row>
    <row r="50" spans="1:9" ht="15.75" x14ac:dyDescent="0.25">
      <c r="A50" s="44" t="s">
        <v>33</v>
      </c>
      <c r="B50" s="11">
        <f>B24-B48</f>
        <v>9208.89</v>
      </c>
      <c r="C50" s="11">
        <f>C24-C48</f>
        <v>-38860.900000000023</v>
      </c>
      <c r="D50" s="11"/>
      <c r="E50" s="11">
        <f>E24-E48</f>
        <v>22130.320000000007</v>
      </c>
      <c r="F50" s="11">
        <v>0</v>
      </c>
      <c r="G50" s="2"/>
      <c r="H50" s="2"/>
      <c r="I50" s="2"/>
    </row>
    <row r="51" spans="1:9" ht="15.75" x14ac:dyDescent="0.25">
      <c r="A51" s="27"/>
      <c r="B51" s="45"/>
      <c r="C51" s="45"/>
      <c r="D51" s="45"/>
      <c r="E51" s="45"/>
      <c r="F51" s="45"/>
      <c r="G51" s="2"/>
      <c r="H51" s="2"/>
      <c r="I51" s="2"/>
    </row>
    <row r="52" spans="1:9" ht="15.75" x14ac:dyDescent="0.25">
      <c r="A52" s="1" t="s">
        <v>34</v>
      </c>
      <c r="B52" s="46">
        <v>48373.31</v>
      </c>
      <c r="C52" s="46"/>
      <c r="D52" s="46"/>
      <c r="E52" s="46">
        <v>-99636.11</v>
      </c>
      <c r="F52" s="46"/>
      <c r="G52" s="2"/>
      <c r="H52" s="2"/>
      <c r="I52" s="2"/>
    </row>
    <row r="53" spans="1:9" ht="15.75" x14ac:dyDescent="0.25">
      <c r="A53" s="1" t="s">
        <v>35</v>
      </c>
      <c r="B53" s="46">
        <v>0</v>
      </c>
      <c r="C53" s="46"/>
      <c r="D53" s="46"/>
      <c r="E53" s="46"/>
      <c r="F53" s="46"/>
      <c r="G53" s="2"/>
      <c r="H53" s="2"/>
      <c r="I53" s="2"/>
    </row>
    <row r="54" spans="1:9" ht="15.75" x14ac:dyDescent="0.25">
      <c r="A54" s="1" t="s">
        <v>36</v>
      </c>
      <c r="B54" s="46"/>
      <c r="C54" s="46"/>
      <c r="D54" s="46"/>
      <c r="E54" s="46"/>
      <c r="F54" s="46"/>
      <c r="G54" s="2"/>
      <c r="H54" s="2"/>
      <c r="I54" s="2"/>
    </row>
    <row r="55" spans="1:9" ht="15.75" x14ac:dyDescent="0.25">
      <c r="A55" s="1" t="s">
        <v>37</v>
      </c>
      <c r="B55" s="46">
        <v>0</v>
      </c>
      <c r="C55" s="46"/>
      <c r="D55" s="46"/>
      <c r="E55" s="46"/>
      <c r="F55" s="46"/>
      <c r="G55" s="2"/>
      <c r="H55" s="2"/>
      <c r="I55" s="2"/>
    </row>
    <row r="56" spans="1:9" ht="15.75" x14ac:dyDescent="0.25">
      <c r="A56" s="1" t="s">
        <v>38</v>
      </c>
      <c r="B56" s="46">
        <f>'[1]Camp YTD Budget'!B180</f>
        <v>0</v>
      </c>
      <c r="C56" s="46"/>
      <c r="D56" s="46"/>
      <c r="E56" s="46"/>
      <c r="F56" s="46"/>
      <c r="G56" s="2"/>
      <c r="H56" s="2"/>
      <c r="I56" s="2"/>
    </row>
    <row r="57" spans="1:9" ht="15.75" x14ac:dyDescent="0.25">
      <c r="A57" s="1" t="s">
        <v>39</v>
      </c>
      <c r="B57" s="46">
        <v>0</v>
      </c>
      <c r="C57" s="46"/>
      <c r="D57" s="46"/>
      <c r="E57" s="46"/>
      <c r="F57" s="46"/>
      <c r="G57" s="2"/>
      <c r="H57" s="2"/>
      <c r="I57" s="2"/>
    </row>
    <row r="58" spans="1:9" ht="78.75" x14ac:dyDescent="0.25">
      <c r="A58" s="47" t="s">
        <v>40</v>
      </c>
      <c r="B58" s="48">
        <f>SUM(B50:B57)</f>
        <v>57582.2</v>
      </c>
      <c r="C58" s="46"/>
      <c r="D58" s="46"/>
      <c r="E58" s="46">
        <f>SUM(E49:E57)</f>
        <v>-77505.789999999994</v>
      </c>
      <c r="F58" s="46"/>
      <c r="G58" s="2"/>
      <c r="H58" s="2"/>
      <c r="I58" s="2"/>
    </row>
    <row r="59" spans="1:9" ht="15.7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5.75" x14ac:dyDescent="0.25">
      <c r="A60" s="9" t="s">
        <v>41</v>
      </c>
      <c r="B60" s="49"/>
      <c r="C60" s="50">
        <v>4193</v>
      </c>
      <c r="D60" s="50"/>
      <c r="E60" s="50"/>
      <c r="F60" s="50">
        <v>4586</v>
      </c>
      <c r="G60" s="2"/>
      <c r="H60" s="2"/>
      <c r="I60" s="2"/>
    </row>
    <row r="61" spans="1:9" ht="15.75" x14ac:dyDescent="0.25">
      <c r="A61" s="51" t="s">
        <v>42</v>
      </c>
      <c r="B61" s="2"/>
      <c r="C61" s="52">
        <v>36.92</v>
      </c>
      <c r="D61" s="52"/>
      <c r="E61" s="52"/>
      <c r="F61" s="52">
        <v>36.950000000000003</v>
      </c>
      <c r="G61" s="2"/>
      <c r="H61" s="2"/>
      <c r="I61" s="2"/>
    </row>
    <row r="62" spans="1:9" ht="15.75" x14ac:dyDescent="0.25">
      <c r="A62" s="9" t="s">
        <v>43</v>
      </c>
      <c r="B62" s="2"/>
      <c r="C62" s="53">
        <v>4.0999999999999996</v>
      </c>
      <c r="D62" s="53"/>
      <c r="E62" s="53"/>
      <c r="F62" s="53">
        <v>4.0999999999999996</v>
      </c>
      <c r="G62" s="2"/>
      <c r="H62" s="2"/>
      <c r="I62" s="2"/>
    </row>
    <row r="63" spans="1:9" ht="15.75" x14ac:dyDescent="0.25">
      <c r="A63" s="54" t="s">
        <v>44</v>
      </c>
      <c r="B63" s="49"/>
      <c r="C63" s="55">
        <v>8.98</v>
      </c>
      <c r="D63" s="55"/>
      <c r="E63" s="55"/>
      <c r="F63" s="55">
        <v>8.9499999999999993</v>
      </c>
      <c r="G63" s="2"/>
      <c r="H63" s="2"/>
      <c r="I63" s="2"/>
    </row>
    <row r="64" spans="1:9" ht="15.75" x14ac:dyDescent="0.25">
      <c r="A64" s="9" t="s">
        <v>45</v>
      </c>
      <c r="B64" s="2"/>
      <c r="C64" s="56">
        <f>SUM(C61:C63)</f>
        <v>50</v>
      </c>
      <c r="D64" s="56"/>
      <c r="E64" s="56"/>
      <c r="F64" s="56">
        <f>SUM(F61:F63)</f>
        <v>50</v>
      </c>
      <c r="G64" s="2"/>
      <c r="H64" s="2"/>
      <c r="I6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4AF6-1AA0-43E9-84B8-9B43C9F8484E}">
  <dimension ref="A1:C154"/>
  <sheetViews>
    <sheetView topLeftCell="A130" workbookViewId="0">
      <selection activeCell="B59" sqref="B59:C59"/>
    </sheetView>
  </sheetViews>
  <sheetFormatPr defaultRowHeight="15" x14ac:dyDescent="0.25"/>
  <cols>
    <col min="1" max="1" width="55.140625" bestFit="1" customWidth="1"/>
    <col min="2" max="3" width="11.7109375" bestFit="1" customWidth="1"/>
  </cols>
  <sheetData>
    <row r="1" spans="1:3" ht="18" x14ac:dyDescent="0.25">
      <c r="A1" s="57" t="s">
        <v>46</v>
      </c>
      <c r="B1" s="58"/>
      <c r="C1" s="58"/>
    </row>
    <row r="2" spans="1:3" ht="18" x14ac:dyDescent="0.25">
      <c r="A2" s="57" t="s">
        <v>47</v>
      </c>
      <c r="B2" s="58"/>
      <c r="C2" s="58"/>
    </row>
    <row r="3" spans="1:3" x14ac:dyDescent="0.25">
      <c r="A3" s="59" t="s">
        <v>48</v>
      </c>
      <c r="B3" s="58"/>
      <c r="C3" s="58"/>
    </row>
    <row r="5" spans="1:3" x14ac:dyDescent="0.25">
      <c r="A5" s="60"/>
      <c r="B5" s="61" t="s">
        <v>49</v>
      </c>
      <c r="C5" s="62"/>
    </row>
    <row r="6" spans="1:3" ht="36.75" x14ac:dyDescent="0.25">
      <c r="A6" s="60"/>
      <c r="B6" s="63" t="s">
        <v>50</v>
      </c>
      <c r="C6" s="63" t="s">
        <v>51</v>
      </c>
    </row>
    <row r="7" spans="1:3" x14ac:dyDescent="0.25">
      <c r="A7" s="64" t="s">
        <v>52</v>
      </c>
      <c r="B7" s="65"/>
      <c r="C7" s="65"/>
    </row>
    <row r="8" spans="1:3" x14ac:dyDescent="0.25">
      <c r="A8" s="67" t="s">
        <v>53</v>
      </c>
      <c r="B8" s="65"/>
      <c r="C8" s="65"/>
    </row>
    <row r="9" spans="1:3" x14ac:dyDescent="0.25">
      <c r="A9" s="67" t="s">
        <v>54</v>
      </c>
      <c r="B9" s="65"/>
      <c r="C9" s="65"/>
    </row>
    <row r="10" spans="1:3" x14ac:dyDescent="0.25">
      <c r="A10" s="67" t="s">
        <v>55</v>
      </c>
      <c r="B10" s="66">
        <f>213048.12</f>
        <v>213048.12</v>
      </c>
      <c r="C10" s="66">
        <v>248528.97</v>
      </c>
    </row>
    <row r="11" spans="1:3" x14ac:dyDescent="0.25">
      <c r="A11" s="67" t="s">
        <v>56</v>
      </c>
      <c r="B11" s="66">
        <f>0</f>
        <v>0</v>
      </c>
      <c r="C11" s="66">
        <f>0</f>
        <v>0</v>
      </c>
    </row>
    <row r="12" spans="1:3" x14ac:dyDescent="0.25">
      <c r="A12" s="67" t="s">
        <v>57</v>
      </c>
      <c r="B12" s="66">
        <f>77805.99</f>
        <v>77805.990000000005</v>
      </c>
      <c r="C12" s="66">
        <f>77790.43</f>
        <v>77790.429999999993</v>
      </c>
    </row>
    <row r="13" spans="1:3" x14ac:dyDescent="0.25">
      <c r="A13" s="67" t="s">
        <v>58</v>
      </c>
      <c r="B13" s="66">
        <f>0</f>
        <v>0</v>
      </c>
      <c r="C13" s="66">
        <f>0</f>
        <v>0</v>
      </c>
    </row>
    <row r="14" spans="1:3" x14ac:dyDescent="0.25">
      <c r="A14" s="67" t="s">
        <v>59</v>
      </c>
      <c r="B14" s="66">
        <f>110585.3</f>
        <v>110585.3</v>
      </c>
      <c r="C14" s="66">
        <v>140063.1</v>
      </c>
    </row>
    <row r="15" spans="1:3" x14ac:dyDescent="0.25">
      <c r="A15" s="67" t="s">
        <v>60</v>
      </c>
      <c r="B15" s="66">
        <f>159105.3</f>
        <v>159105.29999999999</v>
      </c>
      <c r="C15" s="66">
        <f>188532.89</f>
        <v>188532.89</v>
      </c>
    </row>
    <row r="16" spans="1:3" x14ac:dyDescent="0.25">
      <c r="A16" s="67" t="s">
        <v>61</v>
      </c>
      <c r="B16" s="66">
        <f>0</f>
        <v>0</v>
      </c>
      <c r="C16" s="66">
        <f>0</f>
        <v>0</v>
      </c>
    </row>
    <row r="17" spans="1:3" x14ac:dyDescent="0.25">
      <c r="A17" s="67" t="s">
        <v>62</v>
      </c>
      <c r="B17" s="66">
        <f>0</f>
        <v>0</v>
      </c>
      <c r="C17" s="66">
        <f>0</f>
        <v>0</v>
      </c>
    </row>
    <row r="18" spans="1:3" x14ac:dyDescent="0.25">
      <c r="A18" s="67" t="s">
        <v>63</v>
      </c>
      <c r="B18" s="66">
        <f>0</f>
        <v>0</v>
      </c>
      <c r="C18" s="66">
        <f>0</f>
        <v>0</v>
      </c>
    </row>
    <row r="19" spans="1:3" x14ac:dyDescent="0.25">
      <c r="A19" s="67" t="s">
        <v>64</v>
      </c>
      <c r="B19" s="65"/>
      <c r="C19" s="65"/>
    </row>
    <row r="20" spans="1:3" x14ac:dyDescent="0.25">
      <c r="A20" s="67" t="s">
        <v>65</v>
      </c>
      <c r="B20" s="66">
        <f>20</f>
        <v>20</v>
      </c>
      <c r="C20" s="66">
        <v>0</v>
      </c>
    </row>
    <row r="21" spans="1:3" x14ac:dyDescent="0.25">
      <c r="A21" s="67" t="s">
        <v>66</v>
      </c>
      <c r="B21" s="28">
        <f>(B19)+(B20)</f>
        <v>20</v>
      </c>
      <c r="C21" s="28">
        <f>(C19)+(C20)</f>
        <v>0</v>
      </c>
    </row>
    <row r="22" spans="1:3" x14ac:dyDescent="0.25">
      <c r="A22" s="67" t="s">
        <v>67</v>
      </c>
      <c r="B22" s="66">
        <f>858.29</f>
        <v>858.29</v>
      </c>
      <c r="C22" s="65"/>
    </row>
    <row r="23" spans="1:3" x14ac:dyDescent="0.25">
      <c r="A23" s="67" t="s">
        <v>68</v>
      </c>
      <c r="B23" s="28">
        <f>((((((((((B10)+(B11))+(B12))+(B13))+(B14))+(B15))+(B16))+(B17))+(B18))+(B21))+(B22)</f>
        <v>561423</v>
      </c>
      <c r="C23" s="28">
        <f>((((((((((C10)+(C11))+(C12))+(C13))+(C14))+(C15))+(C16))+(C17))+(C18))+(C21))+(C22)</f>
        <v>654915.39</v>
      </c>
    </row>
    <row r="24" spans="1:3" x14ac:dyDescent="0.25">
      <c r="A24" s="67" t="s">
        <v>69</v>
      </c>
      <c r="B24" s="65"/>
      <c r="C24" s="65"/>
    </row>
    <row r="25" spans="1:3" x14ac:dyDescent="0.25">
      <c r="A25" s="67" t="s">
        <v>70</v>
      </c>
      <c r="B25" s="66">
        <f>351104.23</f>
        <v>351104.23</v>
      </c>
      <c r="C25" s="66">
        <v>382071.03999999998</v>
      </c>
    </row>
    <row r="26" spans="1:3" x14ac:dyDescent="0.25">
      <c r="A26" s="67" t="s">
        <v>71</v>
      </c>
      <c r="B26" s="66">
        <f>-322044</f>
        <v>-322044</v>
      </c>
      <c r="C26" s="66">
        <v>-335754.45</v>
      </c>
    </row>
    <row r="27" spans="1:3" x14ac:dyDescent="0.25">
      <c r="A27" s="67" t="s">
        <v>72</v>
      </c>
      <c r="B27" s="28">
        <f>(B25)+(B26)</f>
        <v>29060.229999999981</v>
      </c>
      <c r="C27" s="28">
        <f>(C25)+(C26)</f>
        <v>46316.589999999967</v>
      </c>
    </row>
    <row r="28" spans="1:3" x14ac:dyDescent="0.25">
      <c r="A28" s="67" t="s">
        <v>73</v>
      </c>
      <c r="B28" s="65"/>
      <c r="C28" s="65"/>
    </row>
    <row r="29" spans="1:3" x14ac:dyDescent="0.25">
      <c r="A29" s="67" t="s">
        <v>74</v>
      </c>
      <c r="B29" s="66">
        <f>0</f>
        <v>0</v>
      </c>
      <c r="C29" s="66">
        <v>0</v>
      </c>
    </row>
    <row r="30" spans="1:3" x14ac:dyDescent="0.25">
      <c r="A30" s="67" t="s">
        <v>75</v>
      </c>
      <c r="B30" s="66">
        <f>0</f>
        <v>0</v>
      </c>
      <c r="C30" s="66">
        <f>0</f>
        <v>0</v>
      </c>
    </row>
    <row r="31" spans="1:3" x14ac:dyDescent="0.25">
      <c r="A31" s="67" t="s">
        <v>76</v>
      </c>
      <c r="B31" s="66">
        <f>1455.6</f>
        <v>1455.6</v>
      </c>
      <c r="C31" s="66">
        <v>1407.23</v>
      </c>
    </row>
    <row r="32" spans="1:3" x14ac:dyDescent="0.25">
      <c r="A32" s="67" t="s">
        <v>77</v>
      </c>
      <c r="B32" s="66">
        <f>0</f>
        <v>0</v>
      </c>
      <c r="C32" s="66">
        <f>0</f>
        <v>0</v>
      </c>
    </row>
    <row r="33" spans="1:3" x14ac:dyDescent="0.25">
      <c r="A33" s="67" t="s">
        <v>78</v>
      </c>
      <c r="B33" s="66">
        <f>98.56</f>
        <v>98.56</v>
      </c>
      <c r="C33" s="65"/>
    </row>
    <row r="34" spans="1:3" x14ac:dyDescent="0.25">
      <c r="A34" s="67" t="s">
        <v>79</v>
      </c>
      <c r="B34" s="28">
        <f>((((B29)+(B30))+(B31))+(B32))+(B33)</f>
        <v>1554.1599999999999</v>
      </c>
      <c r="C34" s="28">
        <f>((((C29)+(C30))+(C31))+(C32))+(C33)</f>
        <v>1407.23</v>
      </c>
    </row>
    <row r="35" spans="1:3" x14ac:dyDescent="0.25">
      <c r="A35" s="67" t="s">
        <v>80</v>
      </c>
      <c r="B35" s="28">
        <f>((B23)+(B27))+(B34)</f>
        <v>592037.39</v>
      </c>
      <c r="C35" s="28">
        <f>((C23)+(C27))+(C34)</f>
        <v>702639.21</v>
      </c>
    </row>
    <row r="36" spans="1:3" x14ac:dyDescent="0.25">
      <c r="A36" s="67" t="s">
        <v>81</v>
      </c>
      <c r="B36" s="65"/>
      <c r="C36" s="65"/>
    </row>
    <row r="37" spans="1:3" x14ac:dyDescent="0.25">
      <c r="A37" s="67" t="s">
        <v>82</v>
      </c>
      <c r="B37" s="65"/>
      <c r="C37" s="65"/>
    </row>
    <row r="38" spans="1:3" x14ac:dyDescent="0.25">
      <c r="A38" s="67" t="s">
        <v>83</v>
      </c>
      <c r="B38" s="65"/>
      <c r="C38" s="65"/>
    </row>
    <row r="39" spans="1:3" x14ac:dyDescent="0.25">
      <c r="A39" s="67" t="s">
        <v>84</v>
      </c>
      <c r="B39" s="66">
        <f>0</f>
        <v>0</v>
      </c>
      <c r="C39" s="66">
        <f>0</f>
        <v>0</v>
      </c>
    </row>
    <row r="40" spans="1:3" x14ac:dyDescent="0.25">
      <c r="A40" s="67" t="s">
        <v>85</v>
      </c>
      <c r="B40" s="66">
        <f>0</f>
        <v>0</v>
      </c>
      <c r="C40" s="66">
        <f>0</f>
        <v>0</v>
      </c>
    </row>
    <row r="41" spans="1:3" x14ac:dyDescent="0.25">
      <c r="A41" s="67" t="s">
        <v>86</v>
      </c>
      <c r="B41" s="66">
        <f>0</f>
        <v>0</v>
      </c>
      <c r="C41" s="66">
        <f>0</f>
        <v>0</v>
      </c>
    </row>
    <row r="42" spans="1:3" x14ac:dyDescent="0.25">
      <c r="A42" s="67" t="s">
        <v>87</v>
      </c>
      <c r="B42" s="66">
        <f>0</f>
        <v>0</v>
      </c>
      <c r="C42" s="66">
        <f>0</f>
        <v>0</v>
      </c>
    </row>
    <row r="43" spans="1:3" x14ac:dyDescent="0.25">
      <c r="A43" s="67" t="s">
        <v>88</v>
      </c>
      <c r="B43" s="28">
        <f>((((B38)+(B39))+(B40))+(B41))+(B42)</f>
        <v>0</v>
      </c>
      <c r="C43" s="28">
        <f>((((C38)+(C39))+(C40))+(C41))+(C42)</f>
        <v>0</v>
      </c>
    </row>
    <row r="44" spans="1:3" x14ac:dyDescent="0.25">
      <c r="A44" s="67" t="s">
        <v>89</v>
      </c>
      <c r="B44" s="65"/>
      <c r="C44" s="65"/>
    </row>
    <row r="45" spans="1:3" x14ac:dyDescent="0.25">
      <c r="A45" s="67" t="s">
        <v>90</v>
      </c>
      <c r="B45" s="66">
        <f>0</f>
        <v>0</v>
      </c>
      <c r="C45" s="66">
        <f>0</f>
        <v>0</v>
      </c>
    </row>
    <row r="46" spans="1:3" x14ac:dyDescent="0.25">
      <c r="A46" s="67" t="s">
        <v>91</v>
      </c>
      <c r="B46" s="66">
        <f>0</f>
        <v>0</v>
      </c>
      <c r="C46" s="66">
        <f>0</f>
        <v>0</v>
      </c>
    </row>
    <row r="47" spans="1:3" x14ac:dyDescent="0.25">
      <c r="A47" s="67" t="s">
        <v>92</v>
      </c>
      <c r="B47" s="66">
        <f>0</f>
        <v>0</v>
      </c>
      <c r="C47" s="66">
        <f>0</f>
        <v>0</v>
      </c>
    </row>
    <row r="48" spans="1:3" x14ac:dyDescent="0.25">
      <c r="A48" s="67" t="s">
        <v>93</v>
      </c>
      <c r="B48" s="66">
        <f>0</f>
        <v>0</v>
      </c>
      <c r="C48" s="66">
        <f>0</f>
        <v>0</v>
      </c>
    </row>
    <row r="49" spans="1:3" x14ac:dyDescent="0.25">
      <c r="A49" s="67" t="s">
        <v>94</v>
      </c>
      <c r="B49" s="28">
        <f>((((B44)+(B45))+(B46))+(B47))+(B48)</f>
        <v>0</v>
      </c>
      <c r="C49" s="28">
        <f>((((C44)+(C45))+(C46))+(C47))+(C48)</f>
        <v>0</v>
      </c>
    </row>
    <row r="50" spans="1:3" x14ac:dyDescent="0.25">
      <c r="A50" s="67" t="s">
        <v>95</v>
      </c>
      <c r="B50" s="65"/>
      <c r="C50" s="65"/>
    </row>
    <row r="51" spans="1:3" x14ac:dyDescent="0.25">
      <c r="A51" s="67" t="s">
        <v>96</v>
      </c>
      <c r="B51" s="66">
        <f>681764.33</f>
        <v>681764.33</v>
      </c>
      <c r="C51" s="66">
        <v>663419</v>
      </c>
    </row>
    <row r="52" spans="1:3" x14ac:dyDescent="0.25">
      <c r="A52" s="67" t="s">
        <v>97</v>
      </c>
      <c r="B52" s="66">
        <f>889000</f>
        <v>889000</v>
      </c>
      <c r="C52" s="66">
        <v>889000</v>
      </c>
    </row>
    <row r="53" spans="1:3" x14ac:dyDescent="0.25">
      <c r="A53" s="67" t="s">
        <v>98</v>
      </c>
      <c r="B53" s="66">
        <f>639840.52</f>
        <v>639840.52</v>
      </c>
      <c r="C53" s="66">
        <v>419934.32</v>
      </c>
    </row>
    <row r="54" spans="1:3" x14ac:dyDescent="0.25">
      <c r="A54" s="67" t="s">
        <v>99</v>
      </c>
      <c r="B54" s="66">
        <f>0</f>
        <v>0</v>
      </c>
      <c r="C54" s="66">
        <f>0</f>
        <v>0</v>
      </c>
    </row>
    <row r="55" spans="1:3" x14ac:dyDescent="0.25">
      <c r="A55" s="67" t="s">
        <v>100</v>
      </c>
      <c r="B55" s="66"/>
      <c r="C55" s="66"/>
    </row>
    <row r="56" spans="1:3" x14ac:dyDescent="0.25">
      <c r="A56" s="67" t="s">
        <v>101</v>
      </c>
      <c r="B56" s="66">
        <f>54758.03</f>
        <v>54758.03</v>
      </c>
      <c r="C56" s="66">
        <f>32058.03</f>
        <v>32058.03</v>
      </c>
    </row>
    <row r="57" spans="1:3" x14ac:dyDescent="0.25">
      <c r="A57" s="67" t="s">
        <v>102</v>
      </c>
      <c r="B57" s="66">
        <f>50676.4</f>
        <v>50676.4</v>
      </c>
      <c r="C57" s="66">
        <v>43176.4</v>
      </c>
    </row>
    <row r="58" spans="1:3" x14ac:dyDescent="0.25">
      <c r="A58" s="67" t="s">
        <v>103</v>
      </c>
      <c r="B58" s="28">
        <f>((B55)+(B56))+(B57)</f>
        <v>105434.43</v>
      </c>
      <c r="C58" s="28">
        <f>((C55)+(C56))+(C57)</f>
        <v>75234.429999999993</v>
      </c>
    </row>
    <row r="59" spans="1:3" x14ac:dyDescent="0.25">
      <c r="A59" s="67" t="s">
        <v>104</v>
      </c>
      <c r="B59" s="28">
        <f>(((((B50)+(B51))+(B52))+(B53))+(B54))+(B58)</f>
        <v>2316039.2800000003</v>
      </c>
      <c r="C59" s="28">
        <f>(((((C50)+(C51))+(C52))+(C53))+(C54))+(C58)</f>
        <v>2047587.75</v>
      </c>
    </row>
    <row r="60" spans="1:3" x14ac:dyDescent="0.25">
      <c r="A60" s="67" t="s">
        <v>105</v>
      </c>
      <c r="B60" s="65"/>
      <c r="C60" s="65"/>
    </row>
    <row r="61" spans="1:3" x14ac:dyDescent="0.25">
      <c r="A61" s="67" t="s">
        <v>106</v>
      </c>
      <c r="B61" s="66">
        <f>-185481.36</f>
        <v>-185481.36</v>
      </c>
      <c r="C61" s="66">
        <f>-168963.24</f>
        <v>-168963.24</v>
      </c>
    </row>
    <row r="62" spans="1:3" x14ac:dyDescent="0.25">
      <c r="A62" s="67" t="s">
        <v>107</v>
      </c>
      <c r="B62" s="66">
        <f>-153147.55</f>
        <v>-153147.54999999999</v>
      </c>
      <c r="C62" s="66">
        <f>-88977.59</f>
        <v>-88977.59</v>
      </c>
    </row>
    <row r="63" spans="1:3" x14ac:dyDescent="0.25">
      <c r="A63" s="67" t="s">
        <v>108</v>
      </c>
      <c r="B63" s="66">
        <f>0</f>
        <v>0</v>
      </c>
      <c r="C63" s="66">
        <f>-876.29</f>
        <v>-876.29</v>
      </c>
    </row>
    <row r="64" spans="1:3" x14ac:dyDescent="0.25">
      <c r="A64" s="67" t="s">
        <v>109</v>
      </c>
      <c r="B64" s="65"/>
      <c r="C64" s="65"/>
    </row>
    <row r="65" spans="1:3" x14ac:dyDescent="0.25">
      <c r="A65" s="67" t="s">
        <v>110</v>
      </c>
      <c r="B65" s="66">
        <f>-24020.97</f>
        <v>-24020.97</v>
      </c>
      <c r="C65" s="66">
        <f>-23066.07</f>
        <v>-23066.07</v>
      </c>
    </row>
    <row r="66" spans="1:3" x14ac:dyDescent="0.25">
      <c r="A66" s="67" t="s">
        <v>111</v>
      </c>
      <c r="B66" s="66">
        <f>-42338.58</f>
        <v>-42338.58</v>
      </c>
      <c r="C66" s="66">
        <f>-40696.58</f>
        <v>-40696.58</v>
      </c>
    </row>
    <row r="67" spans="1:3" x14ac:dyDescent="0.25">
      <c r="A67" s="67" t="s">
        <v>112</v>
      </c>
      <c r="B67" s="28">
        <f>((B64)+(B65))+(B66)</f>
        <v>-66359.55</v>
      </c>
      <c r="C67" s="28">
        <f>((C64)+(C65))+(C66)</f>
        <v>-63762.65</v>
      </c>
    </row>
    <row r="68" spans="1:3" x14ac:dyDescent="0.25">
      <c r="A68" s="67" t="s">
        <v>113</v>
      </c>
      <c r="B68" s="28">
        <f>((((B60)+(B61))+(B62))+(B63))+(B67)</f>
        <v>-404988.45999999996</v>
      </c>
      <c r="C68" s="28">
        <f>((((C60)+(C61))+(C62))+(C63))+(C67)</f>
        <v>-322579.77</v>
      </c>
    </row>
    <row r="69" spans="1:3" x14ac:dyDescent="0.25">
      <c r="A69" s="67" t="s">
        <v>114</v>
      </c>
      <c r="B69" s="28">
        <f>((((B37)+(B43))+(B49))+(B59))+(B68)</f>
        <v>1911050.8200000003</v>
      </c>
      <c r="C69" s="28">
        <f>((((C37)+(C43))+(C49))+(C59))+(C68)</f>
        <v>1725007.98</v>
      </c>
    </row>
    <row r="70" spans="1:3" x14ac:dyDescent="0.25">
      <c r="A70" s="67" t="s">
        <v>115</v>
      </c>
      <c r="B70" s="28">
        <f>B69</f>
        <v>1911050.8200000003</v>
      </c>
      <c r="C70" s="28">
        <f>C69</f>
        <v>1725007.98</v>
      </c>
    </row>
    <row r="71" spans="1:3" x14ac:dyDescent="0.25">
      <c r="A71" s="67" t="s">
        <v>116</v>
      </c>
      <c r="B71" s="65"/>
      <c r="C71" s="65"/>
    </row>
    <row r="72" spans="1:3" x14ac:dyDescent="0.25">
      <c r="A72" s="67" t="s">
        <v>117</v>
      </c>
      <c r="B72" s="65"/>
      <c r="C72" s="65"/>
    </row>
    <row r="73" spans="1:3" x14ac:dyDescent="0.25">
      <c r="A73" s="67" t="s">
        <v>118</v>
      </c>
      <c r="B73" s="66">
        <f>0</f>
        <v>0</v>
      </c>
      <c r="C73" s="66">
        <f>0</f>
        <v>0</v>
      </c>
    </row>
    <row r="74" spans="1:3" x14ac:dyDescent="0.25">
      <c r="A74" s="67" t="s">
        <v>119</v>
      </c>
      <c r="B74" s="66">
        <f>0</f>
        <v>0</v>
      </c>
      <c r="C74" s="66">
        <f>0</f>
        <v>0</v>
      </c>
    </row>
    <row r="75" spans="1:3" x14ac:dyDescent="0.25">
      <c r="A75" s="67" t="s">
        <v>120</v>
      </c>
      <c r="B75" s="66">
        <f>0</f>
        <v>0</v>
      </c>
      <c r="C75" s="66">
        <f>0</f>
        <v>0</v>
      </c>
    </row>
    <row r="76" spans="1:3" x14ac:dyDescent="0.25">
      <c r="A76" s="67" t="s">
        <v>121</v>
      </c>
      <c r="B76" s="66">
        <f>0</f>
        <v>0</v>
      </c>
      <c r="C76" s="66">
        <f>0</f>
        <v>0</v>
      </c>
    </row>
    <row r="77" spans="1:3" x14ac:dyDescent="0.25">
      <c r="A77" s="67" t="s">
        <v>122</v>
      </c>
      <c r="B77" s="66">
        <f>0</f>
        <v>0</v>
      </c>
      <c r="C77" s="66">
        <f>0</f>
        <v>0</v>
      </c>
    </row>
    <row r="78" spans="1:3" x14ac:dyDescent="0.25">
      <c r="A78" s="67" t="s">
        <v>123</v>
      </c>
      <c r="B78" s="28">
        <f>(((B74)+(B75))+(B76))+(B77)</f>
        <v>0</v>
      </c>
      <c r="C78" s="28">
        <f>(((C74)+(C75))+(C76))+(C77)</f>
        <v>0</v>
      </c>
    </row>
    <row r="79" spans="1:3" x14ac:dyDescent="0.25">
      <c r="A79" s="67" t="s">
        <v>124</v>
      </c>
      <c r="B79" s="66">
        <f>0</f>
        <v>0</v>
      </c>
      <c r="C79" s="66">
        <f>0</f>
        <v>0</v>
      </c>
    </row>
    <row r="80" spans="1:3" x14ac:dyDescent="0.25">
      <c r="A80" s="67" t="s">
        <v>125</v>
      </c>
      <c r="B80" s="66">
        <f>42937.68</f>
        <v>42937.68</v>
      </c>
      <c r="C80" s="66">
        <f>50848.24</f>
        <v>50848.24</v>
      </c>
    </row>
    <row r="81" spans="1:3" x14ac:dyDescent="0.25">
      <c r="A81" s="67" t="s">
        <v>126</v>
      </c>
      <c r="B81" s="66">
        <f>81139.96</f>
        <v>81139.960000000006</v>
      </c>
      <c r="C81" s="66">
        <f>96088.57</f>
        <v>96088.57</v>
      </c>
    </row>
    <row r="82" spans="1:3" x14ac:dyDescent="0.25">
      <c r="A82" s="67" t="s">
        <v>127</v>
      </c>
      <c r="B82" s="66">
        <f>21651.17</f>
        <v>21651.17</v>
      </c>
      <c r="C82" s="66">
        <v>18281.580000000002</v>
      </c>
    </row>
    <row r="83" spans="1:3" x14ac:dyDescent="0.25">
      <c r="A83" s="67" t="s">
        <v>128</v>
      </c>
      <c r="B83" s="28">
        <f>((((((B72)+(B73))+(B78))+(B79))+(B80))+(B81))+(B82)</f>
        <v>145728.81</v>
      </c>
      <c r="C83" s="28">
        <f>((((((C72)+(C73))+(C78))+(C79))+(C80))+(C81))+(C82)</f>
        <v>165218.39000000001</v>
      </c>
    </row>
    <row r="84" spans="1:3" x14ac:dyDescent="0.25">
      <c r="A84" s="67" t="s">
        <v>129</v>
      </c>
      <c r="B84" s="66">
        <f>0</f>
        <v>0</v>
      </c>
      <c r="C84" s="66">
        <f>0</f>
        <v>0</v>
      </c>
    </row>
    <row r="85" spans="1:3" x14ac:dyDescent="0.25">
      <c r="A85" s="67" t="s">
        <v>130</v>
      </c>
      <c r="B85" s="28">
        <f>(B83)+(B84)</f>
        <v>145728.81</v>
      </c>
      <c r="C85" s="28">
        <f>(C83)+(C84)</f>
        <v>165218.39000000001</v>
      </c>
    </row>
    <row r="86" spans="1:3" x14ac:dyDescent="0.25">
      <c r="A86" s="67" t="s">
        <v>131</v>
      </c>
      <c r="B86" s="28">
        <f>((B35)+(B70))+(B85)</f>
        <v>2648817.0200000005</v>
      </c>
      <c r="C86" s="28">
        <f>((C35)+(C70))+(C85)</f>
        <v>2592865.58</v>
      </c>
    </row>
    <row r="87" spans="1:3" x14ac:dyDescent="0.25">
      <c r="A87" s="67" t="s">
        <v>132</v>
      </c>
      <c r="B87" s="65"/>
      <c r="C87" s="65"/>
    </row>
    <row r="88" spans="1:3" x14ac:dyDescent="0.25">
      <c r="A88" s="67" t="s">
        <v>133</v>
      </c>
      <c r="B88" s="65"/>
      <c r="C88" s="65"/>
    </row>
    <row r="89" spans="1:3" x14ac:dyDescent="0.25">
      <c r="A89" s="67" t="s">
        <v>134</v>
      </c>
      <c r="B89" s="65"/>
      <c r="C89" s="65"/>
    </row>
    <row r="90" spans="1:3" x14ac:dyDescent="0.25">
      <c r="A90" s="67" t="s">
        <v>135</v>
      </c>
      <c r="B90" s="65"/>
      <c r="C90" s="65"/>
    </row>
    <row r="91" spans="1:3" x14ac:dyDescent="0.25">
      <c r="A91" s="67" t="s">
        <v>136</v>
      </c>
      <c r="B91" s="66">
        <f>353.35</f>
        <v>353.35</v>
      </c>
      <c r="C91" s="66">
        <v>609.04999999999995</v>
      </c>
    </row>
    <row r="92" spans="1:3" x14ac:dyDescent="0.25">
      <c r="A92" s="67" t="s">
        <v>137</v>
      </c>
      <c r="B92" s="28">
        <f>B91</f>
        <v>353.35</v>
      </c>
      <c r="C92" s="28">
        <f>C91</f>
        <v>609.04999999999995</v>
      </c>
    </row>
    <row r="93" spans="1:3" x14ac:dyDescent="0.25">
      <c r="A93" s="67" t="s">
        <v>138</v>
      </c>
      <c r="B93" s="65"/>
      <c r="C93" s="65"/>
    </row>
    <row r="94" spans="1:3" x14ac:dyDescent="0.25">
      <c r="A94" s="67" t="s">
        <v>139</v>
      </c>
      <c r="B94" s="65"/>
      <c r="C94" s="65"/>
    </row>
    <row r="95" spans="1:3" x14ac:dyDescent="0.25">
      <c r="A95" s="67" t="s">
        <v>140</v>
      </c>
      <c r="B95" s="66">
        <f>3.41</f>
        <v>3.41</v>
      </c>
      <c r="C95" s="66">
        <v>56.99</v>
      </c>
    </row>
    <row r="96" spans="1:3" x14ac:dyDescent="0.25">
      <c r="A96" s="67" t="s">
        <v>141</v>
      </c>
      <c r="B96" s="66">
        <f>712.27</f>
        <v>712.27</v>
      </c>
      <c r="C96" s="66">
        <v>7776.09</v>
      </c>
    </row>
    <row r="97" spans="1:3" x14ac:dyDescent="0.25">
      <c r="A97" s="67" t="s">
        <v>142</v>
      </c>
      <c r="B97" s="66">
        <f>0</f>
        <v>0</v>
      </c>
      <c r="C97" s="66">
        <f>0</f>
        <v>0</v>
      </c>
    </row>
    <row r="98" spans="1:3" x14ac:dyDescent="0.25">
      <c r="A98" s="67" t="s">
        <v>143</v>
      </c>
      <c r="B98" s="66">
        <f>-103.94</f>
        <v>-103.94</v>
      </c>
      <c r="C98" s="66">
        <f>791.66</f>
        <v>791.66</v>
      </c>
    </row>
    <row r="99" spans="1:3" x14ac:dyDescent="0.25">
      <c r="A99" s="67" t="s">
        <v>144</v>
      </c>
      <c r="B99" s="66">
        <f>0</f>
        <v>0</v>
      </c>
      <c r="C99" s="65"/>
    </row>
    <row r="100" spans="1:3" x14ac:dyDescent="0.25">
      <c r="A100" s="67" t="s">
        <v>145</v>
      </c>
      <c r="B100" s="66">
        <f>0</f>
        <v>0</v>
      </c>
      <c r="C100" s="65"/>
    </row>
    <row r="101" spans="1:3" x14ac:dyDescent="0.25">
      <c r="A101" s="67" t="s">
        <v>146</v>
      </c>
      <c r="B101" s="28">
        <f>((((((B94)+(B95))+(B96))+(B97))+(B98))+(B99))+(B100)</f>
        <v>611.74</v>
      </c>
      <c r="C101" s="28">
        <f>((((((C94)+(C95))+(C96))+(C97))+(C98))+(C99))+(C100)</f>
        <v>8624.74</v>
      </c>
    </row>
    <row r="102" spans="1:3" x14ac:dyDescent="0.25">
      <c r="A102" s="67" t="s">
        <v>147</v>
      </c>
      <c r="B102" s="65"/>
      <c r="C102" s="65"/>
    </row>
    <row r="103" spans="1:3" x14ac:dyDescent="0.25">
      <c r="A103" s="67" t="s">
        <v>148</v>
      </c>
      <c r="B103" s="66">
        <f>0</f>
        <v>0</v>
      </c>
      <c r="C103" s="66">
        <f>0</f>
        <v>0</v>
      </c>
    </row>
    <row r="104" spans="1:3" x14ac:dyDescent="0.25">
      <c r="A104" s="67" t="s">
        <v>149</v>
      </c>
      <c r="B104" s="66">
        <f>0</f>
        <v>0</v>
      </c>
      <c r="C104" s="66">
        <f>0</f>
        <v>0</v>
      </c>
    </row>
    <row r="105" spans="1:3" x14ac:dyDescent="0.25">
      <c r="A105" s="67" t="s">
        <v>150</v>
      </c>
      <c r="B105" s="66">
        <f>0</f>
        <v>0</v>
      </c>
      <c r="C105" s="66">
        <f>0</f>
        <v>0</v>
      </c>
    </row>
    <row r="106" spans="1:3" x14ac:dyDescent="0.25">
      <c r="A106" s="67" t="s">
        <v>151</v>
      </c>
      <c r="B106" s="66">
        <f>0</f>
        <v>0</v>
      </c>
      <c r="C106" s="66">
        <f>0</f>
        <v>0</v>
      </c>
    </row>
    <row r="107" spans="1:3" x14ac:dyDescent="0.25">
      <c r="A107" s="67" t="s">
        <v>152</v>
      </c>
      <c r="B107" s="66">
        <f>0</f>
        <v>0</v>
      </c>
      <c r="C107" s="66">
        <f>0</f>
        <v>0</v>
      </c>
    </row>
    <row r="108" spans="1:3" x14ac:dyDescent="0.25">
      <c r="A108" s="67" t="s">
        <v>153</v>
      </c>
      <c r="B108" s="66">
        <f>0</f>
        <v>0</v>
      </c>
      <c r="C108" s="66">
        <f>0</f>
        <v>0</v>
      </c>
    </row>
    <row r="109" spans="1:3" x14ac:dyDescent="0.25">
      <c r="A109" s="67" t="s">
        <v>154</v>
      </c>
      <c r="B109" s="66">
        <f>0</f>
        <v>0</v>
      </c>
      <c r="C109" s="66">
        <f>0</f>
        <v>0</v>
      </c>
    </row>
    <row r="110" spans="1:3" x14ac:dyDescent="0.25">
      <c r="A110" s="67" t="s">
        <v>155</v>
      </c>
      <c r="B110" s="28">
        <f>(((((((B102)+(B103))+(B104))+(B105))+(B106))+(B107))+(B108))+(B109)</f>
        <v>0</v>
      </c>
      <c r="C110" s="28">
        <f>(((((((C102)+(C103))+(C104))+(C105))+(C106))+(C107))+(C108))+(C109)</f>
        <v>0</v>
      </c>
    </row>
    <row r="111" spans="1:3" x14ac:dyDescent="0.25">
      <c r="A111" s="67" t="s">
        <v>156</v>
      </c>
      <c r="B111" s="28">
        <f>(B101)+(B110)</f>
        <v>611.74</v>
      </c>
      <c r="C111" s="28">
        <f>(C101)+(C110)</f>
        <v>8624.74</v>
      </c>
    </row>
    <row r="112" spans="1:3" x14ac:dyDescent="0.25">
      <c r="A112" s="67" t="s">
        <v>157</v>
      </c>
      <c r="B112" s="65"/>
      <c r="C112" s="65"/>
    </row>
    <row r="113" spans="1:3" x14ac:dyDescent="0.25">
      <c r="A113" s="67" t="s">
        <v>158</v>
      </c>
      <c r="B113" s="66">
        <f>0</f>
        <v>0</v>
      </c>
      <c r="C113" s="66">
        <f>0</f>
        <v>0</v>
      </c>
    </row>
    <row r="114" spans="1:3" x14ac:dyDescent="0.25">
      <c r="A114" s="67" t="s">
        <v>159</v>
      </c>
      <c r="B114" s="66">
        <f>0</f>
        <v>0</v>
      </c>
      <c r="C114" s="66">
        <f>0</f>
        <v>0</v>
      </c>
    </row>
    <row r="115" spans="1:3" x14ac:dyDescent="0.25">
      <c r="A115" s="67" t="s">
        <v>160</v>
      </c>
      <c r="B115" s="66">
        <f>0</f>
        <v>0</v>
      </c>
      <c r="C115" s="66">
        <f>0</f>
        <v>0</v>
      </c>
    </row>
    <row r="116" spans="1:3" x14ac:dyDescent="0.25">
      <c r="A116" s="67" t="s">
        <v>161</v>
      </c>
      <c r="B116" s="66">
        <f>2700</f>
        <v>2700</v>
      </c>
      <c r="C116" s="66">
        <f>9100</f>
        <v>9100</v>
      </c>
    </row>
    <row r="117" spans="1:3" x14ac:dyDescent="0.25">
      <c r="A117" s="67" t="s">
        <v>162</v>
      </c>
      <c r="B117" s="66">
        <f>7505.1</f>
        <v>7505.1</v>
      </c>
      <c r="C117" s="66">
        <f>5156.96</f>
        <v>5156.96</v>
      </c>
    </row>
    <row r="118" spans="1:3" x14ac:dyDescent="0.25">
      <c r="A118" s="67" t="s">
        <v>163</v>
      </c>
      <c r="B118" s="66">
        <f>0</f>
        <v>0</v>
      </c>
      <c r="C118" s="66">
        <f>0</f>
        <v>0</v>
      </c>
    </row>
    <row r="119" spans="1:3" x14ac:dyDescent="0.25">
      <c r="A119" s="67" t="s">
        <v>164</v>
      </c>
      <c r="B119" s="66">
        <f>0</f>
        <v>0</v>
      </c>
      <c r="C119" s="66">
        <f>0</f>
        <v>0</v>
      </c>
    </row>
    <row r="120" spans="1:3" x14ac:dyDescent="0.25">
      <c r="A120" s="67" t="s">
        <v>165</v>
      </c>
      <c r="B120" s="66">
        <f>0</f>
        <v>0</v>
      </c>
      <c r="C120" s="66">
        <f>0</f>
        <v>0</v>
      </c>
    </row>
    <row r="121" spans="1:3" x14ac:dyDescent="0.25">
      <c r="A121" s="67" t="s">
        <v>166</v>
      </c>
      <c r="B121" s="66">
        <f>0</f>
        <v>0</v>
      </c>
      <c r="C121" s="66">
        <f>0</f>
        <v>0</v>
      </c>
    </row>
    <row r="122" spans="1:3" x14ac:dyDescent="0.25">
      <c r="A122" s="67" t="s">
        <v>167</v>
      </c>
      <c r="B122" s="65"/>
      <c r="C122" s="65"/>
    </row>
    <row r="123" spans="1:3" x14ac:dyDescent="0.25">
      <c r="A123" s="67" t="s">
        <v>168</v>
      </c>
      <c r="B123" s="66">
        <f>814.36</f>
        <v>814.36</v>
      </c>
      <c r="C123" s="66">
        <f>0</f>
        <v>0</v>
      </c>
    </row>
    <row r="124" spans="1:3" x14ac:dyDescent="0.25">
      <c r="A124" s="67" t="s">
        <v>169</v>
      </c>
      <c r="B124" s="66">
        <f>2267.72</f>
        <v>2267.7199999999998</v>
      </c>
      <c r="C124" s="66">
        <v>0</v>
      </c>
    </row>
    <row r="125" spans="1:3" x14ac:dyDescent="0.25">
      <c r="A125" s="67" t="s">
        <v>170</v>
      </c>
      <c r="B125" s="66">
        <f>0</f>
        <v>0</v>
      </c>
      <c r="C125" s="66">
        <f>0</f>
        <v>0</v>
      </c>
    </row>
    <row r="126" spans="1:3" x14ac:dyDescent="0.25">
      <c r="A126" s="67" t="s">
        <v>171</v>
      </c>
      <c r="B126" s="66">
        <f>0</f>
        <v>0</v>
      </c>
      <c r="C126" s="66">
        <f>0</f>
        <v>0</v>
      </c>
    </row>
    <row r="127" spans="1:3" x14ac:dyDescent="0.25">
      <c r="A127" s="67" t="s">
        <v>172</v>
      </c>
      <c r="B127" s="66">
        <f>0</f>
        <v>0</v>
      </c>
      <c r="C127" s="66">
        <f>0</f>
        <v>0</v>
      </c>
    </row>
    <row r="128" spans="1:3" x14ac:dyDescent="0.25">
      <c r="A128" s="67" t="s">
        <v>173</v>
      </c>
      <c r="B128" s="66">
        <f>0</f>
        <v>0</v>
      </c>
      <c r="C128" s="65"/>
    </row>
    <row r="129" spans="1:3" x14ac:dyDescent="0.25">
      <c r="A129" s="67" t="s">
        <v>174</v>
      </c>
      <c r="B129" s="66">
        <f>0</f>
        <v>0</v>
      </c>
      <c r="C129" s="66">
        <f>0</f>
        <v>0</v>
      </c>
    </row>
    <row r="130" spans="1:3" x14ac:dyDescent="0.25">
      <c r="A130" s="67" t="s">
        <v>175</v>
      </c>
      <c r="B130" s="66">
        <f>272.28</f>
        <v>272.27999999999997</v>
      </c>
      <c r="C130" s="65"/>
    </row>
    <row r="131" spans="1:3" x14ac:dyDescent="0.25">
      <c r="A131" s="67" t="s">
        <v>176</v>
      </c>
      <c r="B131" s="66">
        <f>527.33</f>
        <v>527.33000000000004</v>
      </c>
      <c r="C131" s="66">
        <v>937.92</v>
      </c>
    </row>
    <row r="132" spans="1:3" x14ac:dyDescent="0.25">
      <c r="A132" s="67" t="s">
        <v>177</v>
      </c>
      <c r="B132" s="66">
        <f>86.4</f>
        <v>86.4</v>
      </c>
      <c r="C132" s="66">
        <v>407.87</v>
      </c>
    </row>
    <row r="133" spans="1:3" x14ac:dyDescent="0.25">
      <c r="A133" s="67" t="s">
        <v>178</v>
      </c>
      <c r="B133" s="66">
        <f>25.51</f>
        <v>25.51</v>
      </c>
      <c r="C133" s="66">
        <v>-357.2</v>
      </c>
    </row>
    <row r="134" spans="1:3" x14ac:dyDescent="0.25">
      <c r="A134" s="67" t="s">
        <v>179</v>
      </c>
      <c r="B134" s="28">
        <f>(((((((((((B122)+(B123))+(B124))+(B125))+(B126))+(B127))+(B128))+(B129))+(B130))+(B131))+(B132))+(B133)</f>
        <v>3993.6</v>
      </c>
      <c r="C134" s="28">
        <f>(((((((((((C122)+(C123))+(C124))+(C125))+(C126))+(C127))+(C128))+(C129))+(C130))+(C131))+(C132))+(C133)</f>
        <v>988.58999999999992</v>
      </c>
    </row>
    <row r="135" spans="1:3" x14ac:dyDescent="0.25">
      <c r="A135" s="67" t="s">
        <v>180</v>
      </c>
      <c r="B135" s="28">
        <f>(((((((((B113)+(B114))+(B115))+(B116))+(B117))+(B118))+(B119))+(B120))+(B121))+(B134)</f>
        <v>14198.7</v>
      </c>
      <c r="C135" s="28">
        <f>(((((((((C113)+(C114))+(C115))+(C116))+(C117))+(C118))+(C119))+(C120))+(C121))+(C134)</f>
        <v>15245.55</v>
      </c>
    </row>
    <row r="136" spans="1:3" x14ac:dyDescent="0.25">
      <c r="A136" s="67" t="s">
        <v>181</v>
      </c>
      <c r="B136" s="28">
        <f>((B92)+(B111))+(B135)</f>
        <v>15163.79</v>
      </c>
      <c r="C136" s="28">
        <f>((C92)+(C111))+(C135)</f>
        <v>24479.339999999997</v>
      </c>
    </row>
    <row r="137" spans="1:3" x14ac:dyDescent="0.25">
      <c r="A137" s="67" t="s">
        <v>182</v>
      </c>
      <c r="B137" s="28">
        <f>B136</f>
        <v>15163.79</v>
      </c>
      <c r="C137" s="28">
        <f>C136</f>
        <v>24479.339999999997</v>
      </c>
    </row>
    <row r="138" spans="1:3" x14ac:dyDescent="0.25">
      <c r="A138" s="67" t="s">
        <v>183</v>
      </c>
      <c r="B138" s="65"/>
      <c r="C138" s="65"/>
    </row>
    <row r="139" spans="1:3" x14ac:dyDescent="0.25">
      <c r="A139" s="67" t="s">
        <v>184</v>
      </c>
      <c r="B139" s="66"/>
      <c r="C139" s="66"/>
    </row>
    <row r="140" spans="1:3" x14ac:dyDescent="0.25">
      <c r="A140" s="67" t="s">
        <v>185</v>
      </c>
      <c r="B140" s="66">
        <v>2004916.93</v>
      </c>
      <c r="C140" s="66">
        <f>2124559.26</f>
        <v>2124559.2599999998</v>
      </c>
    </row>
    <row r="141" spans="1:3" x14ac:dyDescent="0.25">
      <c r="A141" s="67" t="s">
        <v>186</v>
      </c>
      <c r="B141" s="66">
        <f>280804.33</f>
        <v>280804.33</v>
      </c>
      <c r="C141" s="66">
        <f>245428.58</f>
        <v>245428.58</v>
      </c>
    </row>
    <row r="142" spans="1:3" x14ac:dyDescent="0.25">
      <c r="A142" s="67" t="s">
        <v>187</v>
      </c>
      <c r="B142" s="28">
        <f>((B139)+(B140))+(B141)</f>
        <v>2285721.2599999998</v>
      </c>
      <c r="C142" s="28">
        <f>((C139)+(C140))+(C141)</f>
        <v>2369987.84</v>
      </c>
    </row>
    <row r="143" spans="1:3" x14ac:dyDescent="0.25">
      <c r="A143" s="67" t="s">
        <v>188</v>
      </c>
      <c r="B143" s="66"/>
      <c r="C143" s="66"/>
    </row>
    <row r="144" spans="1:3" x14ac:dyDescent="0.25">
      <c r="A144" s="67" t="s">
        <v>189</v>
      </c>
      <c r="B144" s="65"/>
      <c r="C144" s="65"/>
    </row>
    <row r="145" spans="1:3" x14ac:dyDescent="0.25">
      <c r="A145" s="67" t="s">
        <v>190</v>
      </c>
      <c r="B145" s="66">
        <f>79758</f>
        <v>79758</v>
      </c>
      <c r="C145" s="66">
        <v>83848.17</v>
      </c>
    </row>
    <row r="146" spans="1:3" x14ac:dyDescent="0.25">
      <c r="A146" s="67" t="s">
        <v>191</v>
      </c>
      <c r="B146" s="66">
        <f>145973.67</f>
        <v>145973.67000000001</v>
      </c>
      <c r="C146" s="66">
        <v>140961.01999999999</v>
      </c>
    </row>
    <row r="147" spans="1:3" x14ac:dyDescent="0.25">
      <c r="A147" s="67" t="s">
        <v>192</v>
      </c>
      <c r="B147" s="66">
        <f>0</f>
        <v>0</v>
      </c>
      <c r="C147" s="66">
        <f>0</f>
        <v>0</v>
      </c>
    </row>
    <row r="148" spans="1:3" x14ac:dyDescent="0.25">
      <c r="A148" s="67" t="s">
        <v>193</v>
      </c>
      <c r="B148" s="66">
        <f>64618.1</f>
        <v>64618.1</v>
      </c>
      <c r="C148" s="66">
        <v>51095</v>
      </c>
    </row>
    <row r="149" spans="1:3" x14ac:dyDescent="0.25">
      <c r="A149" s="67" t="s">
        <v>194</v>
      </c>
      <c r="B149" s="28">
        <f>((((B144)+(B145))+(B146))+(B147))+(B148)</f>
        <v>290349.77</v>
      </c>
      <c r="C149" s="28">
        <f>((((C144)+(C145))+(C146))+(C147))+(C148)</f>
        <v>275904.19</v>
      </c>
    </row>
    <row r="150" spans="1:3" x14ac:dyDescent="0.25">
      <c r="A150" s="67" t="s">
        <v>195</v>
      </c>
      <c r="B150" s="66">
        <f>0</f>
        <v>0</v>
      </c>
      <c r="C150" s="66">
        <f>0</f>
        <v>0</v>
      </c>
    </row>
    <row r="151" spans="1:3" x14ac:dyDescent="0.25">
      <c r="A151" s="67" t="s">
        <v>196</v>
      </c>
      <c r="B151" s="66">
        <f>57582.2</f>
        <v>57582.2</v>
      </c>
      <c r="C151" s="66">
        <v>-77505.789999999994</v>
      </c>
    </row>
    <row r="152" spans="1:3" x14ac:dyDescent="0.25">
      <c r="A152" s="67" t="s">
        <v>197</v>
      </c>
      <c r="B152" s="28">
        <f>((((B142)+(B143))+(B149))+(B150))+(B151)</f>
        <v>2633653.23</v>
      </c>
      <c r="C152" s="28">
        <f>((((C142)+(C143))+(C149))+(C150))+(C151)</f>
        <v>2568386.2399999998</v>
      </c>
    </row>
    <row r="153" spans="1:3" x14ac:dyDescent="0.25">
      <c r="A153" s="67" t="s">
        <v>198</v>
      </c>
      <c r="B153" s="28">
        <f>(B137)+(B152)</f>
        <v>2648817.02</v>
      </c>
      <c r="C153" s="28">
        <f>(C137)+(C152)</f>
        <v>2592865.5799999996</v>
      </c>
    </row>
    <row r="154" spans="1:3" x14ac:dyDescent="0.25">
      <c r="A154" s="64"/>
      <c r="B154" s="65"/>
      <c r="C154" s="65"/>
    </row>
  </sheetData>
  <mergeCells count="4">
    <mergeCell ref="A1:C1"/>
    <mergeCell ref="A2:C2"/>
    <mergeCell ref="A3:C3"/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57E9-B613-40ED-923B-83E6C2A2D971}">
  <dimension ref="A1:C141"/>
  <sheetViews>
    <sheetView topLeftCell="A111" workbookViewId="0">
      <selection activeCell="B128" sqref="B128:B129"/>
    </sheetView>
  </sheetViews>
  <sheetFormatPr defaultRowHeight="15" x14ac:dyDescent="0.25"/>
  <cols>
    <col min="1" max="1" width="40" bestFit="1" customWidth="1"/>
    <col min="2" max="2" width="10.140625" bestFit="1" customWidth="1"/>
    <col min="3" max="3" width="10.42578125" bestFit="1" customWidth="1"/>
  </cols>
  <sheetData>
    <row r="1" spans="1:3" ht="18" x14ac:dyDescent="0.25">
      <c r="A1" s="57" t="s">
        <v>46</v>
      </c>
      <c r="B1" s="57"/>
      <c r="C1" s="57"/>
    </row>
    <row r="2" spans="1:3" ht="18" x14ac:dyDescent="0.25">
      <c r="A2" s="57" t="s">
        <v>199</v>
      </c>
      <c r="B2" s="57"/>
      <c r="C2" s="57"/>
    </row>
    <row r="3" spans="1:3" x14ac:dyDescent="0.25">
      <c r="A3" s="68" t="s">
        <v>1</v>
      </c>
      <c r="B3" s="68"/>
      <c r="C3" s="68"/>
    </row>
    <row r="5" spans="1:3" x14ac:dyDescent="0.25">
      <c r="A5" s="60"/>
      <c r="B5" s="60"/>
      <c r="C5" s="63" t="s">
        <v>49</v>
      </c>
    </row>
    <row r="6" spans="1:3" x14ac:dyDescent="0.25">
      <c r="A6" s="67" t="s">
        <v>200</v>
      </c>
      <c r="B6" s="64"/>
      <c r="C6" s="65"/>
    </row>
    <row r="7" spans="1:3" x14ac:dyDescent="0.25">
      <c r="A7" s="67" t="s">
        <v>201</v>
      </c>
      <c r="B7" s="64"/>
      <c r="C7" s="65"/>
    </row>
    <row r="8" spans="1:3" x14ac:dyDescent="0.25">
      <c r="A8" s="67" t="s">
        <v>202</v>
      </c>
      <c r="B8" s="64"/>
      <c r="C8" s="65"/>
    </row>
    <row r="9" spans="1:3" x14ac:dyDescent="0.25">
      <c r="A9" s="67" t="s">
        <v>203</v>
      </c>
      <c r="B9" s="66">
        <v>8686.25</v>
      </c>
      <c r="C9" s="66">
        <v>159000</v>
      </c>
    </row>
    <row r="10" spans="1:3" x14ac:dyDescent="0.25">
      <c r="A10" s="67" t="s">
        <v>204</v>
      </c>
      <c r="B10" s="28">
        <f>(B8)+(B9)</f>
        <v>8686.25</v>
      </c>
      <c r="C10" s="28">
        <f>(C8)+(C9)</f>
        <v>159000</v>
      </c>
    </row>
    <row r="11" spans="1:3" x14ac:dyDescent="0.25">
      <c r="A11" s="67" t="s">
        <v>205</v>
      </c>
      <c r="B11" s="65"/>
      <c r="C11" s="65"/>
    </row>
    <row r="12" spans="1:3" x14ac:dyDescent="0.25">
      <c r="A12" s="67" t="s">
        <v>206</v>
      </c>
      <c r="B12" s="65"/>
      <c r="C12" s="65"/>
    </row>
    <row r="13" spans="1:3" x14ac:dyDescent="0.25">
      <c r="A13" s="67" t="s">
        <v>207</v>
      </c>
      <c r="B13" s="66">
        <v>19826.75</v>
      </c>
      <c r="C13" s="66">
        <v>180350</v>
      </c>
    </row>
    <row r="14" spans="1:3" x14ac:dyDescent="0.25">
      <c r="A14" s="67" t="s">
        <v>208</v>
      </c>
      <c r="B14" s="28">
        <f>(B12)+(B13)</f>
        <v>19826.75</v>
      </c>
      <c r="C14" s="28">
        <f>(C12)+(C13)</f>
        <v>180350</v>
      </c>
    </row>
    <row r="15" spans="1:3" x14ac:dyDescent="0.25">
      <c r="A15" s="67" t="s">
        <v>209</v>
      </c>
      <c r="B15" s="28">
        <f>(B11)+(B14)</f>
        <v>19826.75</v>
      </c>
      <c r="C15" s="28">
        <f>(C11)+(C14)</f>
        <v>180350</v>
      </c>
    </row>
    <row r="16" spans="1:3" x14ac:dyDescent="0.25">
      <c r="A16" s="67" t="s">
        <v>210</v>
      </c>
      <c r="B16" s="65"/>
      <c r="C16" s="65"/>
    </row>
    <row r="17" spans="1:3" x14ac:dyDescent="0.25">
      <c r="A17" s="67" t="s">
        <v>211</v>
      </c>
      <c r="B17" s="65"/>
      <c r="C17" s="65"/>
    </row>
    <row r="18" spans="1:3" x14ac:dyDescent="0.25">
      <c r="A18" s="67" t="s">
        <v>212</v>
      </c>
      <c r="B18" s="66"/>
      <c r="C18" s="66">
        <v>0</v>
      </c>
    </row>
    <row r="19" spans="1:3" x14ac:dyDescent="0.25">
      <c r="A19" s="67" t="s">
        <v>213</v>
      </c>
      <c r="B19" s="28">
        <f>(B17)+(B18)</f>
        <v>0</v>
      </c>
      <c r="C19" s="28">
        <f>(C17)+(C18)</f>
        <v>0</v>
      </c>
    </row>
    <row r="20" spans="1:3" x14ac:dyDescent="0.25">
      <c r="A20" s="67" t="s">
        <v>214</v>
      </c>
      <c r="B20" s="65"/>
      <c r="C20" s="65"/>
    </row>
    <row r="21" spans="1:3" x14ac:dyDescent="0.25">
      <c r="A21" s="67" t="s">
        <v>215</v>
      </c>
      <c r="B21" s="65">
        <v>2.5099999999999998</v>
      </c>
      <c r="C21" s="65">
        <v>100</v>
      </c>
    </row>
    <row r="22" spans="1:3" x14ac:dyDescent="0.25">
      <c r="A22" s="67" t="s">
        <v>216</v>
      </c>
      <c r="B22" s="65">
        <v>0</v>
      </c>
    </row>
    <row r="23" spans="1:3" x14ac:dyDescent="0.25">
      <c r="A23" s="67" t="s">
        <v>217</v>
      </c>
      <c r="B23" s="66">
        <v>5000</v>
      </c>
      <c r="C23" s="66">
        <v>5000</v>
      </c>
    </row>
    <row r="24" spans="1:3" x14ac:dyDescent="0.25">
      <c r="A24" s="67" t="s">
        <v>218</v>
      </c>
      <c r="B24" s="28">
        <f>SUM(B21:B23)</f>
        <v>5002.51</v>
      </c>
      <c r="C24" s="28">
        <f>SUM(C21:C23)</f>
        <v>5100</v>
      </c>
    </row>
    <row r="25" spans="1:3" x14ac:dyDescent="0.25">
      <c r="A25" s="67" t="s">
        <v>219</v>
      </c>
      <c r="B25" s="28">
        <f>((B16)+(B19))+(B24)</f>
        <v>5002.51</v>
      </c>
      <c r="C25" s="28">
        <f>((C16)+(C19))+(C24)</f>
        <v>5100</v>
      </c>
    </row>
    <row r="26" spans="1:3" x14ac:dyDescent="0.25">
      <c r="A26" s="67"/>
      <c r="B26" s="66"/>
      <c r="C26" s="66"/>
    </row>
    <row r="27" spans="1:3" x14ac:dyDescent="0.25">
      <c r="A27" s="67"/>
      <c r="B27" s="66"/>
      <c r="C27" s="66"/>
    </row>
    <row r="28" spans="1:3" x14ac:dyDescent="0.25">
      <c r="A28" s="67" t="s">
        <v>220</v>
      </c>
      <c r="B28" s="28">
        <f>B10+B15+B25</f>
        <v>33515.51</v>
      </c>
      <c r="C28" s="28">
        <f>(((((C7)+(C10))+(C15))+(C25))+(C26))+(C27)</f>
        <v>344450</v>
      </c>
    </row>
    <row r="29" spans="1:3" x14ac:dyDescent="0.25">
      <c r="A29" s="67" t="s">
        <v>221</v>
      </c>
      <c r="B29" s="28"/>
      <c r="C29" s="28">
        <f>C28</f>
        <v>344450</v>
      </c>
    </row>
    <row r="30" spans="1:3" x14ac:dyDescent="0.25">
      <c r="A30" s="67" t="s">
        <v>222</v>
      </c>
      <c r="B30" s="28">
        <f>B28</f>
        <v>33515.51</v>
      </c>
      <c r="C30" s="69">
        <f>(C29)-(0)</f>
        <v>344450</v>
      </c>
    </row>
    <row r="31" spans="1:3" x14ac:dyDescent="0.25">
      <c r="A31" s="67" t="s">
        <v>223</v>
      </c>
      <c r="B31" s="65"/>
      <c r="C31" s="65"/>
    </row>
    <row r="32" spans="1:3" x14ac:dyDescent="0.25">
      <c r="A32" s="67" t="s">
        <v>224</v>
      </c>
      <c r="B32" s="65"/>
      <c r="C32" s="65"/>
    </row>
    <row r="33" spans="1:3" x14ac:dyDescent="0.25">
      <c r="A33" s="67" t="s">
        <v>225</v>
      </c>
      <c r="B33" s="65"/>
      <c r="C33" s="65"/>
    </row>
    <row r="34" spans="1:3" x14ac:dyDescent="0.25">
      <c r="A34" s="67" t="s">
        <v>226</v>
      </c>
      <c r="B34" s="65"/>
      <c r="C34" s="65"/>
    </row>
    <row r="35" spans="1:3" x14ac:dyDescent="0.25">
      <c r="A35" s="67" t="s">
        <v>227</v>
      </c>
      <c r="B35" s="65"/>
      <c r="C35" s="65"/>
    </row>
    <row r="36" spans="1:3" x14ac:dyDescent="0.25">
      <c r="A36" s="67" t="s">
        <v>228</v>
      </c>
      <c r="B36" s="66">
        <v>8535.08</v>
      </c>
      <c r="C36" s="66">
        <v>34500</v>
      </c>
    </row>
    <row r="37" spans="1:3" x14ac:dyDescent="0.25">
      <c r="A37" s="67" t="s">
        <v>229</v>
      </c>
      <c r="B37" s="66"/>
      <c r="C37" s="66">
        <v>4500</v>
      </c>
    </row>
    <row r="38" spans="1:3" x14ac:dyDescent="0.25">
      <c r="A38" s="67" t="s">
        <v>230</v>
      </c>
      <c r="B38" s="66"/>
      <c r="C38" s="66">
        <v>17500</v>
      </c>
    </row>
    <row r="39" spans="1:3" x14ac:dyDescent="0.25">
      <c r="A39" s="67" t="s">
        <v>231</v>
      </c>
      <c r="B39" s="66">
        <v>0</v>
      </c>
      <c r="C39" s="66"/>
    </row>
    <row r="40" spans="1:3" x14ac:dyDescent="0.25">
      <c r="A40" s="67" t="s">
        <v>232</v>
      </c>
      <c r="B40" s="66">
        <v>5247.12</v>
      </c>
      <c r="C40" s="66">
        <v>20280</v>
      </c>
    </row>
    <row r="41" spans="1:3" x14ac:dyDescent="0.25">
      <c r="A41" s="67" t="s">
        <v>233</v>
      </c>
      <c r="B41" s="66"/>
      <c r="C41" s="66">
        <v>1000</v>
      </c>
    </row>
    <row r="42" spans="1:3" x14ac:dyDescent="0.25">
      <c r="A42" s="67" t="s">
        <v>234</v>
      </c>
      <c r="B42" s="66">
        <v>328.13</v>
      </c>
      <c r="C42" s="66">
        <v>5000</v>
      </c>
    </row>
    <row r="43" spans="1:3" x14ac:dyDescent="0.25">
      <c r="A43" s="67" t="s">
        <v>235</v>
      </c>
      <c r="B43" s="66"/>
      <c r="C43" s="66"/>
    </row>
    <row r="44" spans="1:3" x14ac:dyDescent="0.25">
      <c r="A44" s="67" t="s">
        <v>236</v>
      </c>
      <c r="B44" s="66"/>
      <c r="C44" s="66"/>
    </row>
    <row r="45" spans="1:3" x14ac:dyDescent="0.25">
      <c r="A45" s="67"/>
      <c r="B45" s="66"/>
      <c r="C45" s="66"/>
    </row>
    <row r="46" spans="1:3" x14ac:dyDescent="0.25">
      <c r="A46" s="67" t="s">
        <v>237</v>
      </c>
      <c r="B46" s="28">
        <f>SUM(B36:B45)</f>
        <v>14110.33</v>
      </c>
      <c r="C46" s="28">
        <f>SUM(C35:C45)</f>
        <v>82780</v>
      </c>
    </row>
    <row r="47" spans="1:3" x14ac:dyDescent="0.25">
      <c r="A47" s="67" t="s">
        <v>238</v>
      </c>
      <c r="B47" s="28">
        <f>(B34)+(B46)</f>
        <v>14110.33</v>
      </c>
      <c r="C47" s="28">
        <f>(C34)+(C46)</f>
        <v>82780</v>
      </c>
    </row>
    <row r="48" spans="1:3" x14ac:dyDescent="0.25">
      <c r="A48" s="67" t="s">
        <v>239</v>
      </c>
      <c r="B48" s="65"/>
      <c r="C48" s="65"/>
    </row>
    <row r="49" spans="1:3" x14ac:dyDescent="0.25">
      <c r="A49" s="67" t="s">
        <v>240</v>
      </c>
      <c r="B49" s="66">
        <v>2288.6</v>
      </c>
      <c r="C49" s="66">
        <v>14445.6</v>
      </c>
    </row>
    <row r="50" spans="1:3" x14ac:dyDescent="0.25">
      <c r="A50" s="67" t="s">
        <v>241</v>
      </c>
      <c r="B50" s="66"/>
      <c r="C50" s="66">
        <v>2222.4</v>
      </c>
    </row>
    <row r="51" spans="1:3" x14ac:dyDescent="0.25">
      <c r="A51" s="67" t="s">
        <v>242</v>
      </c>
      <c r="B51" s="66">
        <v>182.68</v>
      </c>
      <c r="C51" s="66">
        <v>1389.09</v>
      </c>
    </row>
    <row r="52" spans="1:3" x14ac:dyDescent="0.25">
      <c r="A52" s="67" t="s">
        <v>243</v>
      </c>
      <c r="B52" s="66"/>
      <c r="C52" s="66">
        <v>1700</v>
      </c>
    </row>
    <row r="53" spans="1:3" x14ac:dyDescent="0.25">
      <c r="A53" s="67"/>
      <c r="B53" s="66"/>
    </row>
    <row r="54" spans="1:3" x14ac:dyDescent="0.25">
      <c r="A54" s="67" t="s">
        <v>244</v>
      </c>
      <c r="B54" s="28">
        <f>SUM(B49:B53)</f>
        <v>2471.2799999999997</v>
      </c>
      <c r="C54" s="28">
        <f>SUM(C49:C52)</f>
        <v>19757.09</v>
      </c>
    </row>
    <row r="55" spans="1:3" x14ac:dyDescent="0.25">
      <c r="A55" s="67" t="s">
        <v>245</v>
      </c>
      <c r="B55" s="65"/>
      <c r="C55" s="65"/>
    </row>
    <row r="56" spans="1:3" x14ac:dyDescent="0.25">
      <c r="A56" s="67" t="s">
        <v>246</v>
      </c>
      <c r="B56" s="66">
        <v>2851.8</v>
      </c>
      <c r="C56" s="66">
        <v>17035.2</v>
      </c>
    </row>
    <row r="57" spans="1:3" x14ac:dyDescent="0.25">
      <c r="A57" s="67" t="s">
        <v>247</v>
      </c>
      <c r="B57" s="66">
        <v>635.78</v>
      </c>
      <c r="C57" s="66">
        <v>7098</v>
      </c>
    </row>
    <row r="58" spans="1:3" x14ac:dyDescent="0.25">
      <c r="A58" s="67" t="s">
        <v>248</v>
      </c>
      <c r="B58" s="66">
        <v>583.75</v>
      </c>
      <c r="C58" s="66">
        <v>3276</v>
      </c>
    </row>
    <row r="59" spans="1:3" x14ac:dyDescent="0.25">
      <c r="A59" s="67" t="s">
        <v>249</v>
      </c>
      <c r="B59" s="66"/>
      <c r="C59" s="66"/>
    </row>
    <row r="60" spans="1:3" x14ac:dyDescent="0.25">
      <c r="A60" s="67" t="s">
        <v>250</v>
      </c>
      <c r="B60" s="66"/>
      <c r="C60" s="66">
        <v>1200</v>
      </c>
    </row>
    <row r="61" spans="1:3" x14ac:dyDescent="0.25">
      <c r="A61" s="67" t="s">
        <v>251</v>
      </c>
      <c r="B61" s="66"/>
      <c r="C61" s="66">
        <v>1000</v>
      </c>
    </row>
    <row r="62" spans="1:3" x14ac:dyDescent="0.25">
      <c r="A62" s="67" t="s">
        <v>252</v>
      </c>
      <c r="B62" s="28">
        <f>SUM(B56:B61)</f>
        <v>4071.33</v>
      </c>
      <c r="C62" s="28">
        <f>SUM(C56:C61)</f>
        <v>29609.200000000001</v>
      </c>
    </row>
    <row r="63" spans="1:3" x14ac:dyDescent="0.25">
      <c r="A63" s="74"/>
      <c r="B63" s="65"/>
      <c r="C63" s="65"/>
    </row>
    <row r="64" spans="1:3" x14ac:dyDescent="0.25">
      <c r="A64" s="67"/>
      <c r="B64" s="70"/>
      <c r="C64" s="70"/>
    </row>
    <row r="65" spans="1:3" x14ac:dyDescent="0.25">
      <c r="A65" s="67" t="s">
        <v>253</v>
      </c>
      <c r="B65" s="65"/>
      <c r="C65" s="65"/>
    </row>
    <row r="66" spans="1:3" x14ac:dyDescent="0.25">
      <c r="A66" s="67" t="s">
        <v>254</v>
      </c>
      <c r="B66" s="66"/>
      <c r="C66" s="66">
        <v>550</v>
      </c>
    </row>
    <row r="67" spans="1:3" x14ac:dyDescent="0.25">
      <c r="A67" s="67" t="s">
        <v>255</v>
      </c>
      <c r="B67" s="66"/>
      <c r="C67" s="66">
        <v>1387</v>
      </c>
    </row>
    <row r="68" spans="1:3" x14ac:dyDescent="0.25">
      <c r="A68" s="67" t="s">
        <v>256</v>
      </c>
      <c r="B68" s="66">
        <v>1125.0999999999999</v>
      </c>
      <c r="C68" s="66"/>
    </row>
    <row r="69" spans="1:3" x14ac:dyDescent="0.25">
      <c r="A69" s="67" t="s">
        <v>257</v>
      </c>
      <c r="B69" s="66"/>
      <c r="C69" s="66">
        <f>140</f>
        <v>140</v>
      </c>
    </row>
    <row r="70" spans="1:3" x14ac:dyDescent="0.25">
      <c r="A70" s="67" t="s">
        <v>258</v>
      </c>
      <c r="B70" s="28">
        <f>SUM(B66:B69)</f>
        <v>1125.0999999999999</v>
      </c>
      <c r="C70" s="28">
        <f>(((C65)+(C66))+(C67))+(C69)</f>
        <v>2077</v>
      </c>
    </row>
    <row r="71" spans="1:3" x14ac:dyDescent="0.25">
      <c r="A71" s="67" t="s">
        <v>259</v>
      </c>
      <c r="B71" s="28">
        <f>B47+B54+B62+B70</f>
        <v>21778.04</v>
      </c>
      <c r="C71" s="28">
        <f>((((C33)+(C47))+(C54))+(C62))+(C70)</f>
        <v>134223.29</v>
      </c>
    </row>
    <row r="72" spans="1:3" x14ac:dyDescent="0.25">
      <c r="A72" s="67" t="s">
        <v>260</v>
      </c>
      <c r="B72" s="65"/>
      <c r="C72" s="65"/>
    </row>
    <row r="73" spans="1:3" x14ac:dyDescent="0.25">
      <c r="A73" s="67" t="s">
        <v>261</v>
      </c>
      <c r="B73" s="65"/>
      <c r="C73" s="65"/>
    </row>
    <row r="74" spans="1:3" x14ac:dyDescent="0.25">
      <c r="A74" s="67" t="s">
        <v>262</v>
      </c>
      <c r="B74" s="66">
        <v>0</v>
      </c>
      <c r="C74" s="66">
        <v>4000</v>
      </c>
    </row>
    <row r="75" spans="1:3" x14ac:dyDescent="0.25">
      <c r="A75" s="67" t="s">
        <v>263</v>
      </c>
      <c r="B75" s="28">
        <f>(B73)+(B74)</f>
        <v>0</v>
      </c>
      <c r="C75" s="28">
        <f>(C73)+(C74)</f>
        <v>4000</v>
      </c>
    </row>
    <row r="76" spans="1:3" x14ac:dyDescent="0.25">
      <c r="A76" s="67" t="s">
        <v>264</v>
      </c>
      <c r="B76" s="66"/>
      <c r="C76" s="66">
        <v>55000</v>
      </c>
    </row>
    <row r="77" spans="1:3" x14ac:dyDescent="0.25">
      <c r="A77" s="67" t="s">
        <v>265</v>
      </c>
      <c r="B77" s="66"/>
      <c r="C77" s="66"/>
    </row>
    <row r="78" spans="1:3" x14ac:dyDescent="0.25">
      <c r="A78" s="67" t="s">
        <v>266</v>
      </c>
      <c r="B78" s="66">
        <v>15000</v>
      </c>
      <c r="C78" s="66">
        <v>90000</v>
      </c>
    </row>
    <row r="79" spans="1:3" x14ac:dyDescent="0.25">
      <c r="A79" s="67" t="s">
        <v>267</v>
      </c>
      <c r="B79" s="66"/>
      <c r="C79" s="66"/>
    </row>
    <row r="80" spans="1:3" x14ac:dyDescent="0.25">
      <c r="A80" s="67" t="s">
        <v>268</v>
      </c>
      <c r="B80" s="65"/>
      <c r="C80" s="65"/>
    </row>
    <row r="81" spans="1:3" x14ac:dyDescent="0.25">
      <c r="A81" s="67" t="s">
        <v>269</v>
      </c>
      <c r="B81" s="65"/>
      <c r="C81" s="65">
        <v>5000</v>
      </c>
    </row>
    <row r="82" spans="1:3" x14ac:dyDescent="0.25">
      <c r="A82" s="67" t="s">
        <v>270</v>
      </c>
      <c r="B82" s="66"/>
      <c r="C82" s="66">
        <f>2000</f>
        <v>2000</v>
      </c>
    </row>
    <row r="83" spans="1:3" x14ac:dyDescent="0.25">
      <c r="A83" s="67" t="s">
        <v>271</v>
      </c>
      <c r="B83" s="66"/>
      <c r="C83" s="66">
        <f>2000</f>
        <v>2000</v>
      </c>
    </row>
    <row r="84" spans="1:3" x14ac:dyDescent="0.25">
      <c r="A84" s="67" t="s">
        <v>272</v>
      </c>
      <c r="B84" s="66"/>
      <c r="C84" s="66">
        <f>1000</f>
        <v>1000</v>
      </c>
    </row>
    <row r="85" spans="1:3" x14ac:dyDescent="0.25">
      <c r="A85" s="67" t="s">
        <v>273</v>
      </c>
      <c r="B85" s="28">
        <f>(((B80)+(B82))+(B83))+(B84)</f>
        <v>0</v>
      </c>
      <c r="C85" s="28">
        <f>SUM(C81:C84)</f>
        <v>10000</v>
      </c>
    </row>
    <row r="86" spans="1:3" x14ac:dyDescent="0.25">
      <c r="A86" s="67" t="s">
        <v>274</v>
      </c>
      <c r="B86" s="28">
        <f>(((((B72)+(B75))+(B76))+(B77))+(B78))+B79+(B85)</f>
        <v>15000</v>
      </c>
      <c r="C86" s="28">
        <f>(((((C72)+(C75))+(C76))+(C77))+(C78))+(C85)</f>
        <v>159000</v>
      </c>
    </row>
    <row r="87" spans="1:3" x14ac:dyDescent="0.25">
      <c r="A87" s="67" t="s">
        <v>275</v>
      </c>
      <c r="B87" s="65"/>
      <c r="C87" s="65"/>
    </row>
    <row r="88" spans="1:3" x14ac:dyDescent="0.25">
      <c r="A88" s="67" t="s">
        <v>276</v>
      </c>
      <c r="B88" s="65"/>
      <c r="C88" s="65"/>
    </row>
    <row r="89" spans="1:3" x14ac:dyDescent="0.25">
      <c r="A89" s="67" t="s">
        <v>277</v>
      </c>
      <c r="B89" s="66"/>
      <c r="C89" s="66"/>
    </row>
    <row r="90" spans="1:3" x14ac:dyDescent="0.25">
      <c r="A90" s="67" t="s">
        <v>278</v>
      </c>
      <c r="B90" s="71"/>
      <c r="C90" s="66">
        <v>0</v>
      </c>
    </row>
    <row r="91" spans="1:3" x14ac:dyDescent="0.25">
      <c r="A91" s="67" t="s">
        <v>279</v>
      </c>
      <c r="B91" s="66">
        <v>141.1</v>
      </c>
      <c r="C91" s="66">
        <v>900</v>
      </c>
    </row>
    <row r="92" spans="1:3" x14ac:dyDescent="0.25">
      <c r="A92" s="67" t="s">
        <v>280</v>
      </c>
      <c r="B92" s="66"/>
      <c r="C92" s="66">
        <v>100</v>
      </c>
    </row>
    <row r="93" spans="1:3" x14ac:dyDescent="0.25">
      <c r="A93" s="67" t="s">
        <v>281</v>
      </c>
      <c r="B93" s="66">
        <v>100</v>
      </c>
      <c r="C93" s="66">
        <v>700</v>
      </c>
    </row>
    <row r="94" spans="1:3" x14ac:dyDescent="0.25">
      <c r="A94" s="67" t="s">
        <v>282</v>
      </c>
      <c r="B94" s="66"/>
      <c r="C94" s="66">
        <v>0</v>
      </c>
    </row>
    <row r="95" spans="1:3" x14ac:dyDescent="0.25">
      <c r="A95" s="67" t="s">
        <v>283</v>
      </c>
      <c r="B95" s="66"/>
      <c r="C95" s="66">
        <f>2000</f>
        <v>2000</v>
      </c>
    </row>
    <row r="96" spans="1:3" x14ac:dyDescent="0.25">
      <c r="A96" s="67" t="s">
        <v>284</v>
      </c>
      <c r="B96" s="66">
        <v>893.07</v>
      </c>
      <c r="C96" s="66">
        <v>4000</v>
      </c>
    </row>
    <row r="97" spans="1:3" x14ac:dyDescent="0.25">
      <c r="A97" s="67" t="s">
        <v>285</v>
      </c>
      <c r="B97" s="66"/>
      <c r="C97" s="66">
        <f>2000</f>
        <v>2000</v>
      </c>
    </row>
    <row r="98" spans="1:3" x14ac:dyDescent="0.25">
      <c r="A98" s="67" t="s">
        <v>286</v>
      </c>
      <c r="B98" s="66"/>
      <c r="C98" s="66">
        <v>615</v>
      </c>
    </row>
    <row r="99" spans="1:3" x14ac:dyDescent="0.25">
      <c r="A99" s="67" t="s">
        <v>287</v>
      </c>
      <c r="B99" s="66">
        <v>6.47</v>
      </c>
      <c r="C99" s="66">
        <v>1000</v>
      </c>
    </row>
    <row r="100" spans="1:3" x14ac:dyDescent="0.25">
      <c r="A100" s="67" t="s">
        <v>288</v>
      </c>
      <c r="B100" s="66">
        <v>234</v>
      </c>
      <c r="C100" s="66">
        <v>2952</v>
      </c>
    </row>
    <row r="101" spans="1:3" x14ac:dyDescent="0.25">
      <c r="A101" s="67" t="s">
        <v>289</v>
      </c>
      <c r="B101" s="66"/>
      <c r="C101" s="66">
        <v>3000</v>
      </c>
    </row>
    <row r="102" spans="1:3" x14ac:dyDescent="0.25">
      <c r="A102" s="67" t="s">
        <v>290</v>
      </c>
      <c r="B102" s="66">
        <v>350</v>
      </c>
      <c r="C102" s="66">
        <v>2100</v>
      </c>
    </row>
    <row r="103" spans="1:3" x14ac:dyDescent="0.25">
      <c r="A103" s="67" t="s">
        <v>291</v>
      </c>
      <c r="B103" s="66"/>
      <c r="C103" s="66"/>
    </row>
    <row r="104" spans="1:3" x14ac:dyDescent="0.25">
      <c r="A104" s="67" t="s">
        <v>292</v>
      </c>
      <c r="B104" s="66"/>
      <c r="C104" s="66"/>
    </row>
    <row r="105" spans="1:3" x14ac:dyDescent="0.25">
      <c r="A105" s="67" t="s">
        <v>293</v>
      </c>
      <c r="B105" s="28">
        <f>SUM(B89:B104)</f>
        <v>1724.64</v>
      </c>
      <c r="C105" s="28">
        <f>SUM(C89:C104)</f>
        <v>19367</v>
      </c>
    </row>
    <row r="106" spans="1:3" x14ac:dyDescent="0.25">
      <c r="A106" s="67" t="s">
        <v>294</v>
      </c>
      <c r="B106" s="65"/>
      <c r="C106" s="65"/>
    </row>
    <row r="107" spans="1:3" x14ac:dyDescent="0.25">
      <c r="A107" s="67" t="s">
        <v>295</v>
      </c>
      <c r="B107" s="66"/>
      <c r="C107" s="66">
        <v>4000</v>
      </c>
    </row>
    <row r="108" spans="1:3" x14ac:dyDescent="0.25">
      <c r="A108" s="67" t="s">
        <v>296</v>
      </c>
      <c r="B108" s="66">
        <v>14418.98</v>
      </c>
      <c r="C108" s="66">
        <v>15329.75</v>
      </c>
    </row>
    <row r="109" spans="1:3" x14ac:dyDescent="0.25">
      <c r="A109" s="67" t="s">
        <v>297</v>
      </c>
      <c r="B109" s="66"/>
      <c r="C109" s="66">
        <v>32390.86</v>
      </c>
    </row>
    <row r="110" spans="1:3" x14ac:dyDescent="0.25">
      <c r="A110" s="67" t="s">
        <v>298</v>
      </c>
      <c r="B110" s="66">
        <v>3800</v>
      </c>
      <c r="C110" s="66">
        <f>2000</f>
        <v>2000</v>
      </c>
    </row>
    <row r="111" spans="1:3" x14ac:dyDescent="0.25">
      <c r="A111" s="67" t="s">
        <v>299</v>
      </c>
      <c r="B111" s="66"/>
      <c r="C111" s="66">
        <v>0</v>
      </c>
    </row>
    <row r="112" spans="1:3" x14ac:dyDescent="0.25">
      <c r="A112" s="67" t="s">
        <v>300</v>
      </c>
      <c r="B112" s="66"/>
      <c r="C112" s="66">
        <v>500</v>
      </c>
    </row>
    <row r="113" spans="1:3" x14ac:dyDescent="0.25">
      <c r="A113" s="67" t="s">
        <v>301</v>
      </c>
      <c r="B113" s="66"/>
      <c r="C113" s="66">
        <v>0</v>
      </c>
    </row>
    <row r="114" spans="1:3" x14ac:dyDescent="0.25">
      <c r="A114" s="67" t="s">
        <v>302</v>
      </c>
      <c r="B114" s="66"/>
      <c r="C114" s="66"/>
    </row>
    <row r="115" spans="1:3" x14ac:dyDescent="0.25">
      <c r="A115" s="67" t="s">
        <v>303</v>
      </c>
      <c r="B115" s="65"/>
      <c r="C115" s="65"/>
    </row>
    <row r="116" spans="1:3" x14ac:dyDescent="0.25">
      <c r="A116" s="67" t="s">
        <v>304</v>
      </c>
      <c r="B116" s="66">
        <v>321.02</v>
      </c>
      <c r="C116" s="66">
        <v>3000</v>
      </c>
    </row>
    <row r="117" spans="1:3" x14ac:dyDescent="0.25">
      <c r="A117" s="67" t="s">
        <v>305</v>
      </c>
      <c r="B117" s="66"/>
      <c r="C117" s="66"/>
    </row>
    <row r="118" spans="1:3" x14ac:dyDescent="0.25">
      <c r="A118" s="67" t="s">
        <v>306</v>
      </c>
      <c r="B118" s="66">
        <v>290</v>
      </c>
      <c r="C118" s="66">
        <f>5000</f>
        <v>5000</v>
      </c>
    </row>
    <row r="119" spans="1:3" x14ac:dyDescent="0.25">
      <c r="A119" s="67" t="s">
        <v>307</v>
      </c>
      <c r="B119" s="28">
        <f>SUM(B116:B118)</f>
        <v>611.02</v>
      </c>
      <c r="C119" s="28">
        <f>((C115)+(C116))+(C118)</f>
        <v>8000</v>
      </c>
    </row>
    <row r="120" spans="1:3" x14ac:dyDescent="0.25">
      <c r="A120" s="67"/>
      <c r="B120" s="66"/>
      <c r="C120" s="66"/>
    </row>
    <row r="121" spans="1:3" x14ac:dyDescent="0.25">
      <c r="A121" s="67" t="s">
        <v>308</v>
      </c>
      <c r="B121" s="65"/>
      <c r="C121" s="65"/>
    </row>
    <row r="122" spans="1:3" x14ac:dyDescent="0.25">
      <c r="A122" s="67" t="s">
        <v>309</v>
      </c>
      <c r="B122" s="66"/>
      <c r="C122" s="66">
        <v>8500</v>
      </c>
    </row>
    <row r="123" spans="1:3" x14ac:dyDescent="0.25">
      <c r="A123" s="67" t="s">
        <v>310</v>
      </c>
      <c r="B123" s="28">
        <f>(B121)+(B122)</f>
        <v>0</v>
      </c>
      <c r="C123" s="28">
        <f>(C121)+(C122)</f>
        <v>8500</v>
      </c>
    </row>
    <row r="124" spans="1:3" x14ac:dyDescent="0.25">
      <c r="A124" s="67" t="s">
        <v>311</v>
      </c>
      <c r="B124" s="28">
        <f>B107+B108+B109+B110+B111+B112+B113+B114+B119+B122</f>
        <v>18830</v>
      </c>
      <c r="C124" s="69">
        <f>C107+C108+C109+C110+C111+C112+C113+C114+C119+C122</f>
        <v>70720.61</v>
      </c>
    </row>
    <row r="125" spans="1:3" x14ac:dyDescent="0.25">
      <c r="A125" s="67" t="s">
        <v>312</v>
      </c>
      <c r="B125" s="28">
        <f>((B87)+(B105))+(B124)</f>
        <v>20554.64</v>
      </c>
      <c r="C125" s="28">
        <f>((C87)+(C105))+(C124)</f>
        <v>90087.61</v>
      </c>
    </row>
    <row r="126" spans="1:3" x14ac:dyDescent="0.25">
      <c r="A126" s="67" t="s">
        <v>313</v>
      </c>
      <c r="B126" s="28">
        <f>(((B32)+(B71))+(B86))+(B125)</f>
        <v>57332.68</v>
      </c>
      <c r="C126" s="28">
        <f>(((C32)+(C71))+(C86))+(C125)</f>
        <v>383310.9</v>
      </c>
    </row>
    <row r="127" spans="1:3" x14ac:dyDescent="0.25">
      <c r="A127" s="67" t="s">
        <v>314</v>
      </c>
      <c r="B127" s="69">
        <f>B126</f>
        <v>57332.68</v>
      </c>
      <c r="C127" s="28">
        <f>C126</f>
        <v>383310.9</v>
      </c>
    </row>
    <row r="128" spans="1:3" x14ac:dyDescent="0.25">
      <c r="A128" s="67" t="s">
        <v>315</v>
      </c>
      <c r="B128" s="28">
        <f>B30-B127</f>
        <v>-23817.17</v>
      </c>
      <c r="C128" s="28">
        <f>(C30)-(C127)</f>
        <v>-38860.900000000023</v>
      </c>
    </row>
    <row r="129" spans="1:3" x14ac:dyDescent="0.25">
      <c r="A129" s="67" t="s">
        <v>316</v>
      </c>
      <c r="B129" s="28">
        <f>(B128)+(0)</f>
        <v>-23817.17</v>
      </c>
      <c r="C129" s="28">
        <f>(C128)+(0)</f>
        <v>-38860.900000000023</v>
      </c>
    </row>
    <row r="130" spans="1:3" x14ac:dyDescent="0.25">
      <c r="A130" s="67"/>
      <c r="B130" s="64"/>
      <c r="C130" s="65"/>
    </row>
    <row r="131" spans="1:3" x14ac:dyDescent="0.25">
      <c r="A131" s="74"/>
    </row>
    <row r="132" spans="1:3" x14ac:dyDescent="0.25">
      <c r="A132" s="74"/>
    </row>
    <row r="133" spans="1:3" x14ac:dyDescent="0.25">
      <c r="A133" s="74" t="s">
        <v>317</v>
      </c>
      <c r="B133" s="72">
        <f>'[1]Camp YTD Budget'!C175</f>
        <v>33026.06</v>
      </c>
    </row>
    <row r="134" spans="1:3" x14ac:dyDescent="0.25">
      <c r="A134" s="74"/>
      <c r="B134" s="72"/>
    </row>
    <row r="135" spans="1:3" x14ac:dyDescent="0.25">
      <c r="A135" s="74" t="s">
        <v>318</v>
      </c>
      <c r="B135" s="72">
        <f>'[1]Camp YTD Budget'!B178</f>
        <v>0</v>
      </c>
    </row>
    <row r="136" spans="1:3" x14ac:dyDescent="0.25">
      <c r="A136" s="74" t="s">
        <v>319</v>
      </c>
      <c r="B136" s="72">
        <f>'[1]Camp YTD Budget'!B180</f>
        <v>0</v>
      </c>
    </row>
    <row r="137" spans="1:3" x14ac:dyDescent="0.25">
      <c r="A137" s="74" t="s">
        <v>320</v>
      </c>
      <c r="B137" s="72">
        <f>'[1]Camp YTD Budget'!B181</f>
        <v>0</v>
      </c>
    </row>
    <row r="138" spans="1:3" x14ac:dyDescent="0.25">
      <c r="A138" s="74" t="s">
        <v>321</v>
      </c>
      <c r="B138" s="72">
        <f>'[1]Camp YTD Budget'!B182</f>
        <v>48373.31</v>
      </c>
    </row>
    <row r="139" spans="1:3" x14ac:dyDescent="0.25">
      <c r="A139" s="74"/>
      <c r="B139" s="72"/>
    </row>
    <row r="140" spans="1:3" ht="15.75" thickBot="1" x14ac:dyDescent="0.3">
      <c r="A140" s="75" t="s">
        <v>322</v>
      </c>
      <c r="B140" s="73">
        <f>SUM(B129:B138)</f>
        <v>57582.2</v>
      </c>
    </row>
    <row r="141" spans="1:3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EFCE-4A34-418F-86BA-D6ABFC64BC5A}">
  <dimension ref="A1:C188"/>
  <sheetViews>
    <sheetView topLeftCell="A144" workbookViewId="0">
      <selection activeCell="B36" sqref="B36:C36"/>
    </sheetView>
  </sheetViews>
  <sheetFormatPr defaultRowHeight="15" x14ac:dyDescent="0.25"/>
  <cols>
    <col min="1" max="1" width="49.5703125" bestFit="1" customWidth="1"/>
    <col min="2" max="2" width="9.5703125" bestFit="1" customWidth="1"/>
    <col min="3" max="3" width="10.42578125" bestFit="1" customWidth="1"/>
  </cols>
  <sheetData>
    <row r="1" spans="1:3" ht="18" x14ac:dyDescent="0.25">
      <c r="A1" s="57" t="s">
        <v>46</v>
      </c>
      <c r="B1" s="57"/>
      <c r="C1" s="58"/>
    </row>
    <row r="2" spans="1:3" ht="18" x14ac:dyDescent="0.25">
      <c r="A2" s="57" t="s">
        <v>323</v>
      </c>
      <c r="B2" s="57"/>
      <c r="C2" s="58"/>
    </row>
    <row r="3" spans="1:3" x14ac:dyDescent="0.25">
      <c r="A3" s="68" t="s">
        <v>1</v>
      </c>
      <c r="B3" s="68"/>
      <c r="C3" s="68"/>
    </row>
    <row r="5" spans="1:3" x14ac:dyDescent="0.25">
      <c r="A5" s="60"/>
      <c r="B5" s="63" t="s">
        <v>49</v>
      </c>
      <c r="C5" s="63" t="s">
        <v>49</v>
      </c>
    </row>
    <row r="6" spans="1:3" x14ac:dyDescent="0.25">
      <c r="A6" s="60"/>
      <c r="B6" s="76"/>
      <c r="C6" s="76"/>
    </row>
    <row r="7" spans="1:3" x14ac:dyDescent="0.25">
      <c r="A7" s="67" t="s">
        <v>200</v>
      </c>
      <c r="B7" s="65"/>
      <c r="C7" s="65"/>
    </row>
    <row r="8" spans="1:3" x14ac:dyDescent="0.25">
      <c r="A8" s="67" t="s">
        <v>324</v>
      </c>
      <c r="B8" s="65"/>
      <c r="C8" s="65"/>
    </row>
    <row r="9" spans="1:3" x14ac:dyDescent="0.25">
      <c r="A9" s="67" t="s">
        <v>325</v>
      </c>
      <c r="B9" s="65"/>
      <c r="C9" s="65"/>
    </row>
    <row r="10" spans="1:3" x14ac:dyDescent="0.25">
      <c r="A10" s="67" t="s">
        <v>326</v>
      </c>
      <c r="B10" s="66">
        <f>16575</f>
        <v>16575</v>
      </c>
      <c r="C10" s="66">
        <v>129000</v>
      </c>
    </row>
    <row r="11" spans="1:3" x14ac:dyDescent="0.25">
      <c r="A11" s="67" t="s">
        <v>327</v>
      </c>
      <c r="B11" s="66">
        <f>3000</f>
        <v>3000</v>
      </c>
      <c r="C11" s="66">
        <v>33000</v>
      </c>
    </row>
    <row r="12" spans="1:3" x14ac:dyDescent="0.25">
      <c r="A12" s="67" t="s">
        <v>328</v>
      </c>
      <c r="B12" s="66">
        <f>400</f>
        <v>400</v>
      </c>
      <c r="C12" s="66">
        <v>5000</v>
      </c>
    </row>
    <row r="13" spans="1:3" x14ac:dyDescent="0.25">
      <c r="A13" s="67" t="s">
        <v>329</v>
      </c>
      <c r="B13" s="66">
        <f>160</f>
        <v>160</v>
      </c>
      <c r="C13" s="66">
        <v>12000</v>
      </c>
    </row>
    <row r="14" spans="1:3" x14ac:dyDescent="0.25">
      <c r="A14" s="74"/>
      <c r="B14" s="66"/>
      <c r="C14" s="66"/>
    </row>
    <row r="15" spans="1:3" x14ac:dyDescent="0.25">
      <c r="A15" s="67" t="s">
        <v>330</v>
      </c>
      <c r="B15" s="28">
        <f>SUM(B10:B14)</f>
        <v>20135</v>
      </c>
      <c r="C15" s="28">
        <f>SUM(C10:C14)</f>
        <v>179000</v>
      </c>
    </row>
    <row r="16" spans="1:3" x14ac:dyDescent="0.25">
      <c r="A16" s="67" t="s">
        <v>331</v>
      </c>
      <c r="B16" s="65"/>
      <c r="C16" s="65"/>
    </row>
    <row r="17" spans="1:3" x14ac:dyDescent="0.25">
      <c r="A17" s="67" t="s">
        <v>332</v>
      </c>
      <c r="B17" s="65"/>
      <c r="C17" s="65"/>
    </row>
    <row r="18" spans="1:3" x14ac:dyDescent="0.25">
      <c r="A18" s="67" t="s">
        <v>333</v>
      </c>
      <c r="B18" s="66">
        <v>12360</v>
      </c>
      <c r="C18" s="66">
        <v>25000</v>
      </c>
    </row>
    <row r="19" spans="1:3" x14ac:dyDescent="0.25">
      <c r="A19" s="67" t="s">
        <v>334</v>
      </c>
      <c r="B19" s="66">
        <v>450</v>
      </c>
      <c r="C19" s="66">
        <v>5500</v>
      </c>
    </row>
    <row r="20" spans="1:3" x14ac:dyDescent="0.25">
      <c r="A20" s="67" t="s">
        <v>335</v>
      </c>
      <c r="B20" s="66">
        <v>2500</v>
      </c>
      <c r="C20" s="66">
        <v>25000</v>
      </c>
    </row>
    <row r="21" spans="1:3" x14ac:dyDescent="0.25">
      <c r="A21" s="67" t="s">
        <v>336</v>
      </c>
      <c r="B21" s="66">
        <v>2821.14</v>
      </c>
      <c r="C21" s="66">
        <v>5500</v>
      </c>
    </row>
    <row r="22" spans="1:3" x14ac:dyDescent="0.25">
      <c r="A22" s="67" t="s">
        <v>337</v>
      </c>
      <c r="B22" s="66"/>
      <c r="C22" s="66">
        <v>3000</v>
      </c>
    </row>
    <row r="23" spans="1:3" x14ac:dyDescent="0.25">
      <c r="A23" s="67" t="s">
        <v>338</v>
      </c>
      <c r="B23" s="66">
        <v>15000</v>
      </c>
      <c r="C23" s="66">
        <v>90000</v>
      </c>
    </row>
    <row r="24" spans="1:3" x14ac:dyDescent="0.25">
      <c r="A24" s="67" t="s">
        <v>339</v>
      </c>
      <c r="B24" s="66">
        <v>250</v>
      </c>
      <c r="C24" s="66">
        <v>1000</v>
      </c>
    </row>
    <row r="25" spans="1:3" x14ac:dyDescent="0.25">
      <c r="A25" s="67" t="s">
        <v>340</v>
      </c>
      <c r="B25" s="28">
        <f>SUM(B18:B24)</f>
        <v>33381.14</v>
      </c>
      <c r="C25" s="28">
        <f>SUM(C18:C24)</f>
        <v>155000</v>
      </c>
    </row>
    <row r="26" spans="1:3" x14ac:dyDescent="0.25">
      <c r="A26" s="67" t="s">
        <v>341</v>
      </c>
      <c r="B26" s="66"/>
      <c r="C26" s="66">
        <v>1136.4000000000001</v>
      </c>
    </row>
    <row r="27" spans="1:3" x14ac:dyDescent="0.25">
      <c r="A27" s="67" t="s">
        <v>342</v>
      </c>
      <c r="B27" s="66"/>
      <c r="C27" s="66"/>
    </row>
    <row r="28" spans="1:3" x14ac:dyDescent="0.25">
      <c r="A28" s="67" t="s">
        <v>343</v>
      </c>
      <c r="B28" s="77">
        <v>0.03</v>
      </c>
      <c r="C28" s="66">
        <v>50</v>
      </c>
    </row>
    <row r="29" spans="1:3" x14ac:dyDescent="0.25">
      <c r="A29" s="67" t="s">
        <v>344</v>
      </c>
      <c r="B29" s="66"/>
      <c r="C29" s="66">
        <f>7500</f>
        <v>7500</v>
      </c>
    </row>
    <row r="30" spans="1:3" x14ac:dyDescent="0.25">
      <c r="A30" s="67" t="s">
        <v>345</v>
      </c>
      <c r="B30" s="66"/>
      <c r="C30" s="66"/>
    </row>
    <row r="31" spans="1:3" x14ac:dyDescent="0.25">
      <c r="A31" s="67" t="s">
        <v>346</v>
      </c>
      <c r="B31" s="66"/>
      <c r="C31" s="66">
        <v>2500</v>
      </c>
    </row>
    <row r="32" spans="1:3" x14ac:dyDescent="0.25">
      <c r="A32" s="67"/>
      <c r="B32" s="66"/>
      <c r="C32" s="66"/>
    </row>
    <row r="33" spans="1:3" x14ac:dyDescent="0.25">
      <c r="A33" s="67" t="s">
        <v>347</v>
      </c>
      <c r="B33" s="28">
        <f>B25+B26+B28+B29+B30+B31</f>
        <v>33381.17</v>
      </c>
      <c r="C33" s="28">
        <f>C25+C26+C28+C29+C31</f>
        <v>166186.4</v>
      </c>
    </row>
    <row r="34" spans="1:3" x14ac:dyDescent="0.25">
      <c r="A34" s="67" t="s">
        <v>348</v>
      </c>
      <c r="B34" s="28">
        <f>((B8)+(B15))+(B33)</f>
        <v>53516.17</v>
      </c>
      <c r="C34" s="28">
        <f>((C8)+(C15))+(C33)</f>
        <v>345186.4</v>
      </c>
    </row>
    <row r="35" spans="1:3" x14ac:dyDescent="0.25">
      <c r="A35" s="67" t="s">
        <v>221</v>
      </c>
      <c r="B35" s="28">
        <f>B34</f>
        <v>53516.17</v>
      </c>
      <c r="C35" s="28">
        <f>C34</f>
        <v>345186.4</v>
      </c>
    </row>
    <row r="36" spans="1:3" x14ac:dyDescent="0.25">
      <c r="A36" s="67" t="s">
        <v>222</v>
      </c>
      <c r="B36" s="69">
        <f>(B35)-(0)</f>
        <v>53516.17</v>
      </c>
      <c r="C36" s="28">
        <f>(C35)-(0)</f>
        <v>345186.4</v>
      </c>
    </row>
    <row r="37" spans="1:3" x14ac:dyDescent="0.25">
      <c r="A37" s="67" t="s">
        <v>223</v>
      </c>
      <c r="B37" s="65"/>
      <c r="C37" s="65"/>
    </row>
    <row r="38" spans="1:3" x14ac:dyDescent="0.25">
      <c r="A38" s="67" t="s">
        <v>349</v>
      </c>
      <c r="B38" s="65"/>
      <c r="C38" s="65"/>
    </row>
    <row r="39" spans="1:3" x14ac:dyDescent="0.25">
      <c r="A39" s="67" t="s">
        <v>350</v>
      </c>
      <c r="B39" s="65"/>
      <c r="C39" s="65"/>
    </row>
    <row r="40" spans="1:3" x14ac:dyDescent="0.25">
      <c r="A40" s="67" t="s">
        <v>351</v>
      </c>
      <c r="B40" s="66"/>
      <c r="C40" s="66">
        <v>4400</v>
      </c>
    </row>
    <row r="41" spans="1:3" x14ac:dyDescent="0.25">
      <c r="A41" s="67" t="s">
        <v>352</v>
      </c>
      <c r="B41" s="66"/>
      <c r="C41" s="66"/>
    </row>
    <row r="42" spans="1:3" x14ac:dyDescent="0.25">
      <c r="A42" s="67" t="s">
        <v>353</v>
      </c>
      <c r="B42" s="66"/>
      <c r="C42" s="66"/>
    </row>
    <row r="43" spans="1:3" x14ac:dyDescent="0.25">
      <c r="A43" s="67" t="s">
        <v>354</v>
      </c>
      <c r="B43" s="66"/>
      <c r="C43" s="66">
        <v>10400</v>
      </c>
    </row>
    <row r="44" spans="1:3" x14ac:dyDescent="0.25">
      <c r="A44" s="67" t="s">
        <v>355</v>
      </c>
      <c r="B44" s="66"/>
      <c r="C44" s="66">
        <v>4600</v>
      </c>
    </row>
    <row r="45" spans="1:3" x14ac:dyDescent="0.25">
      <c r="A45" s="67" t="s">
        <v>356</v>
      </c>
      <c r="B45" s="66"/>
      <c r="C45" s="66"/>
    </row>
    <row r="46" spans="1:3" x14ac:dyDescent="0.25">
      <c r="A46" s="67" t="s">
        <v>357</v>
      </c>
      <c r="B46" s="66"/>
      <c r="C46" s="66">
        <v>7000</v>
      </c>
    </row>
    <row r="47" spans="1:3" x14ac:dyDescent="0.25">
      <c r="A47" s="67" t="s">
        <v>358</v>
      </c>
      <c r="B47" s="66"/>
      <c r="C47" s="66"/>
    </row>
    <row r="48" spans="1:3" x14ac:dyDescent="0.25">
      <c r="A48" s="67" t="s">
        <v>359</v>
      </c>
      <c r="B48" s="66"/>
      <c r="C48" s="66"/>
    </row>
    <row r="49" spans="1:3" x14ac:dyDescent="0.25">
      <c r="A49" s="82" t="s">
        <v>360</v>
      </c>
      <c r="B49" s="66"/>
      <c r="C49" s="66"/>
    </row>
    <row r="50" spans="1:3" x14ac:dyDescent="0.25">
      <c r="A50" s="67" t="s">
        <v>361</v>
      </c>
      <c r="B50" s="66"/>
      <c r="C50" s="66"/>
    </row>
    <row r="51" spans="1:3" x14ac:dyDescent="0.25">
      <c r="A51" s="67" t="s">
        <v>362</v>
      </c>
      <c r="B51" s="66"/>
      <c r="C51" s="66"/>
    </row>
    <row r="52" spans="1:3" x14ac:dyDescent="0.25">
      <c r="A52" s="67" t="s">
        <v>363</v>
      </c>
      <c r="B52" s="66"/>
      <c r="C52" s="66"/>
    </row>
    <row r="53" spans="1:3" x14ac:dyDescent="0.25">
      <c r="A53" s="67" t="s">
        <v>364</v>
      </c>
      <c r="B53" s="66"/>
      <c r="C53" s="66">
        <v>4200</v>
      </c>
    </row>
    <row r="54" spans="1:3" x14ac:dyDescent="0.25">
      <c r="A54" s="67" t="s">
        <v>365</v>
      </c>
      <c r="B54" s="66"/>
      <c r="C54" s="66"/>
    </row>
    <row r="55" spans="1:3" x14ac:dyDescent="0.25">
      <c r="A55" s="67" t="s">
        <v>366</v>
      </c>
      <c r="B55" s="66">
        <v>1701.5</v>
      </c>
      <c r="C55" s="66">
        <v>2600</v>
      </c>
    </row>
    <row r="56" spans="1:3" x14ac:dyDescent="0.25">
      <c r="A56" s="67" t="s">
        <v>367</v>
      </c>
      <c r="B56" s="66"/>
      <c r="C56" s="66">
        <v>31500</v>
      </c>
    </row>
    <row r="57" spans="1:3" x14ac:dyDescent="0.25">
      <c r="A57" s="67" t="s">
        <v>368</v>
      </c>
      <c r="B57" s="69">
        <f>SUM(B38:B56)</f>
        <v>1701.5</v>
      </c>
      <c r="C57" s="28">
        <f>SUM(C40:C56)</f>
        <v>64700</v>
      </c>
    </row>
    <row r="58" spans="1:3" x14ac:dyDescent="0.25">
      <c r="A58" s="67" t="s">
        <v>369</v>
      </c>
      <c r="B58" s="65"/>
      <c r="C58" s="65"/>
    </row>
    <row r="59" spans="1:3" x14ac:dyDescent="0.25">
      <c r="A59" s="67"/>
      <c r="B59" s="66"/>
      <c r="C59" s="66"/>
    </row>
    <row r="60" spans="1:3" x14ac:dyDescent="0.25">
      <c r="A60" s="67" t="s">
        <v>370</v>
      </c>
      <c r="B60" s="65"/>
      <c r="C60" s="65"/>
    </row>
    <row r="61" spans="1:3" x14ac:dyDescent="0.25">
      <c r="A61" s="67" t="s">
        <v>371</v>
      </c>
      <c r="B61" s="66">
        <v>11282.63</v>
      </c>
      <c r="C61" s="66">
        <v>74880</v>
      </c>
    </row>
    <row r="62" spans="1:3" x14ac:dyDescent="0.25">
      <c r="A62" s="67" t="s">
        <v>372</v>
      </c>
      <c r="B62" s="66">
        <v>2392.6999999999998</v>
      </c>
      <c r="C62" s="66">
        <v>14000</v>
      </c>
    </row>
    <row r="63" spans="1:3" x14ac:dyDescent="0.25">
      <c r="A63" s="67" t="s">
        <v>373</v>
      </c>
      <c r="B63" s="69">
        <f>((B60)+(B61))+(B62)</f>
        <v>13675.329999999998</v>
      </c>
      <c r="C63" s="28">
        <f>((C60)+(C61))+(C62)</f>
        <v>88880</v>
      </c>
    </row>
    <row r="64" spans="1:3" x14ac:dyDescent="0.25">
      <c r="A64" s="67" t="s">
        <v>374</v>
      </c>
      <c r="B64" s="65"/>
      <c r="C64" s="65"/>
    </row>
    <row r="65" spans="1:3" x14ac:dyDescent="0.25">
      <c r="A65" s="67" t="s">
        <v>375</v>
      </c>
      <c r="B65" s="66">
        <v>658.72</v>
      </c>
      <c r="C65" s="66">
        <v>27000</v>
      </c>
    </row>
    <row r="66" spans="1:3" x14ac:dyDescent="0.25">
      <c r="A66" s="67" t="s">
        <v>376</v>
      </c>
      <c r="B66" s="28">
        <f>(B64)+(B65)</f>
        <v>658.72</v>
      </c>
      <c r="C66" s="28">
        <f>(C64)+(C65)</f>
        <v>27000</v>
      </c>
    </row>
    <row r="67" spans="1:3" x14ac:dyDescent="0.25">
      <c r="A67" s="67" t="s">
        <v>377</v>
      </c>
      <c r="B67" s="65"/>
      <c r="C67" s="65"/>
    </row>
    <row r="68" spans="1:3" x14ac:dyDescent="0.25">
      <c r="A68" s="67" t="s">
        <v>378</v>
      </c>
      <c r="B68" s="66"/>
      <c r="C68" s="66"/>
    </row>
    <row r="69" spans="1:3" x14ac:dyDescent="0.25">
      <c r="A69" s="67" t="s">
        <v>379</v>
      </c>
      <c r="B69" s="65"/>
      <c r="C69" s="65">
        <v>16000</v>
      </c>
    </row>
    <row r="70" spans="1:3" x14ac:dyDescent="0.25">
      <c r="A70" s="67" t="s">
        <v>380</v>
      </c>
      <c r="B70" s="66"/>
      <c r="C70" s="66">
        <v>0</v>
      </c>
    </row>
    <row r="71" spans="1:3" x14ac:dyDescent="0.25">
      <c r="A71" s="67"/>
      <c r="B71" s="66"/>
      <c r="C71" s="66"/>
    </row>
    <row r="72" spans="1:3" x14ac:dyDescent="0.25">
      <c r="A72" s="67"/>
      <c r="B72" s="28"/>
      <c r="C72" s="28"/>
    </row>
    <row r="73" spans="1:3" x14ac:dyDescent="0.25">
      <c r="A73" s="67" t="s">
        <v>381</v>
      </c>
      <c r="B73" s="28">
        <f>B63+B66+B68+B70</f>
        <v>14334.049999999997</v>
      </c>
      <c r="C73" s="28">
        <f>C63+C66+C68+C69</f>
        <v>131880</v>
      </c>
    </row>
    <row r="74" spans="1:3" x14ac:dyDescent="0.25">
      <c r="A74" s="67" t="s">
        <v>382</v>
      </c>
      <c r="B74" s="65"/>
      <c r="C74" s="65"/>
    </row>
    <row r="75" spans="1:3" x14ac:dyDescent="0.25">
      <c r="A75" s="67" t="s">
        <v>383</v>
      </c>
      <c r="B75" s="66"/>
      <c r="C75" s="66">
        <v>4200</v>
      </c>
    </row>
    <row r="76" spans="1:3" x14ac:dyDescent="0.25">
      <c r="A76" s="67" t="s">
        <v>384</v>
      </c>
      <c r="B76" s="66">
        <v>1293.46</v>
      </c>
      <c r="C76" s="66">
        <v>14606.4</v>
      </c>
    </row>
    <row r="77" spans="1:3" x14ac:dyDescent="0.25">
      <c r="A77" s="67" t="s">
        <v>385</v>
      </c>
      <c r="B77" s="66"/>
      <c r="C77" s="66">
        <v>3500</v>
      </c>
    </row>
    <row r="78" spans="1:3" x14ac:dyDescent="0.25">
      <c r="A78" s="67" t="s">
        <v>386</v>
      </c>
      <c r="B78" s="66"/>
      <c r="C78" s="66">
        <v>0</v>
      </c>
    </row>
    <row r="79" spans="1:3" x14ac:dyDescent="0.25">
      <c r="A79" s="67" t="s">
        <v>387</v>
      </c>
      <c r="B79" s="66"/>
      <c r="C79" s="66">
        <v>6000</v>
      </c>
    </row>
    <row r="80" spans="1:3" x14ac:dyDescent="0.25">
      <c r="A80" s="67" t="s">
        <v>388</v>
      </c>
      <c r="B80" s="66"/>
      <c r="C80" s="66">
        <v>4200</v>
      </c>
    </row>
    <row r="81" spans="1:3" x14ac:dyDescent="0.25">
      <c r="A81" s="67" t="s">
        <v>389</v>
      </c>
      <c r="B81" s="66"/>
      <c r="C81" s="66">
        <v>2400</v>
      </c>
    </row>
    <row r="82" spans="1:3" x14ac:dyDescent="0.25">
      <c r="A82" s="67" t="s">
        <v>390</v>
      </c>
      <c r="B82" s="66"/>
      <c r="C82" s="66">
        <v>19500</v>
      </c>
    </row>
    <row r="83" spans="1:3" x14ac:dyDescent="0.25">
      <c r="A83" s="67" t="s">
        <v>391</v>
      </c>
      <c r="C83" s="66">
        <v>2800</v>
      </c>
    </row>
    <row r="84" spans="1:3" x14ac:dyDescent="0.25">
      <c r="A84" s="67" t="s">
        <v>392</v>
      </c>
      <c r="B84" s="66">
        <v>315.77999999999997</v>
      </c>
      <c r="C84" s="66">
        <v>500</v>
      </c>
    </row>
    <row r="85" spans="1:3" x14ac:dyDescent="0.25">
      <c r="A85" s="67" t="s">
        <v>393</v>
      </c>
      <c r="B85" s="66">
        <v>-89.87</v>
      </c>
      <c r="C85" s="66">
        <v>1250</v>
      </c>
    </row>
    <row r="86" spans="1:3" x14ac:dyDescent="0.25">
      <c r="A86" s="67" t="s">
        <v>394</v>
      </c>
      <c r="B86" s="69">
        <f>SUM(B75:B85)</f>
        <v>1519.37</v>
      </c>
      <c r="C86" s="28">
        <f>SUM(C75:C85)</f>
        <v>58956.4</v>
      </c>
    </row>
    <row r="87" spans="1:3" x14ac:dyDescent="0.25">
      <c r="A87" s="67" t="s">
        <v>395</v>
      </c>
      <c r="B87" s="65"/>
      <c r="C87" s="65"/>
    </row>
    <row r="88" spans="1:3" x14ac:dyDescent="0.25">
      <c r="A88" s="67" t="s">
        <v>396</v>
      </c>
      <c r="B88" s="66">
        <v>295.74</v>
      </c>
      <c r="C88" s="66">
        <v>2500</v>
      </c>
    </row>
    <row r="89" spans="1:3" x14ac:dyDescent="0.25">
      <c r="A89" s="67" t="s">
        <v>397</v>
      </c>
      <c r="B89" s="66">
        <v>824.08</v>
      </c>
      <c r="C89" s="66"/>
    </row>
    <row r="90" spans="1:3" x14ac:dyDescent="0.25">
      <c r="A90" s="67" t="s">
        <v>398</v>
      </c>
      <c r="B90" s="66">
        <v>624.4</v>
      </c>
      <c r="C90" s="66">
        <v>4500</v>
      </c>
    </row>
    <row r="91" spans="1:3" x14ac:dyDescent="0.25">
      <c r="A91" s="67" t="s">
        <v>399</v>
      </c>
      <c r="B91" s="66"/>
      <c r="C91" s="66">
        <v>2000</v>
      </c>
    </row>
    <row r="92" spans="1:3" x14ac:dyDescent="0.25">
      <c r="A92" s="67" t="s">
        <v>400</v>
      </c>
      <c r="B92" s="66"/>
      <c r="C92" s="66">
        <v>250</v>
      </c>
    </row>
    <row r="93" spans="1:3" x14ac:dyDescent="0.25">
      <c r="A93" s="67" t="s">
        <v>401</v>
      </c>
      <c r="B93" s="66">
        <v>150.47999999999999</v>
      </c>
      <c r="C93" s="66">
        <v>1500</v>
      </c>
    </row>
    <row r="94" spans="1:3" x14ac:dyDescent="0.25">
      <c r="A94" s="67" t="s">
        <v>402</v>
      </c>
      <c r="B94" s="65"/>
      <c r="C94" s="65"/>
    </row>
    <row r="95" spans="1:3" x14ac:dyDescent="0.25">
      <c r="A95" s="67" t="s">
        <v>403</v>
      </c>
      <c r="B95" s="66">
        <v>156.33000000000001</v>
      </c>
      <c r="C95" s="66">
        <v>1000</v>
      </c>
    </row>
    <row r="96" spans="1:3" x14ac:dyDescent="0.25">
      <c r="A96" s="67" t="s">
        <v>404</v>
      </c>
      <c r="B96" s="66"/>
      <c r="C96" s="66">
        <v>1500</v>
      </c>
    </row>
    <row r="97" spans="1:3" x14ac:dyDescent="0.25">
      <c r="A97" s="67" t="s">
        <v>405</v>
      </c>
      <c r="B97" s="66"/>
      <c r="C97" s="66">
        <v>500</v>
      </c>
    </row>
    <row r="98" spans="1:3" x14ac:dyDescent="0.25">
      <c r="A98" s="67" t="s">
        <v>406</v>
      </c>
      <c r="B98" s="69">
        <f>(((B94)+(B95))+(B96))+(B97)</f>
        <v>156.33000000000001</v>
      </c>
      <c r="C98" s="28">
        <f>(((C94)+(C95))+(C96))+(C97)</f>
        <v>3000</v>
      </c>
    </row>
    <row r="99" spans="1:3" x14ac:dyDescent="0.25">
      <c r="A99" s="67" t="s">
        <v>407</v>
      </c>
      <c r="B99" s="66"/>
      <c r="C99" s="66">
        <v>50</v>
      </c>
    </row>
    <row r="100" spans="1:3" x14ac:dyDescent="0.25">
      <c r="A100" s="67" t="s">
        <v>408</v>
      </c>
      <c r="B100" s="65"/>
      <c r="C100" s="65"/>
    </row>
    <row r="101" spans="1:3" x14ac:dyDescent="0.25">
      <c r="A101" s="67" t="s">
        <v>409</v>
      </c>
      <c r="B101" s="66">
        <v>41.82</v>
      </c>
      <c r="C101" s="66">
        <v>500</v>
      </c>
    </row>
    <row r="102" spans="1:3" x14ac:dyDescent="0.25">
      <c r="A102" s="67" t="s">
        <v>410</v>
      </c>
      <c r="B102" s="66"/>
      <c r="C102" s="66">
        <f>250</f>
        <v>250</v>
      </c>
    </row>
    <row r="103" spans="1:3" x14ac:dyDescent="0.25">
      <c r="A103" s="67" t="s">
        <v>411</v>
      </c>
      <c r="B103" s="69">
        <f>((B100)+(B101))+(B102)</f>
        <v>41.82</v>
      </c>
      <c r="C103" s="28">
        <f>((C100)+(C101))+(C102)</f>
        <v>750</v>
      </c>
    </row>
    <row r="104" spans="1:3" x14ac:dyDescent="0.25">
      <c r="A104" s="67" t="s">
        <v>412</v>
      </c>
      <c r="B104" s="66"/>
      <c r="C104" s="66">
        <v>1250</v>
      </c>
    </row>
    <row r="105" spans="1:3" x14ac:dyDescent="0.25">
      <c r="A105" s="67" t="s">
        <v>413</v>
      </c>
      <c r="B105" s="66"/>
      <c r="C105" s="66">
        <v>1000</v>
      </c>
    </row>
    <row r="106" spans="1:3" x14ac:dyDescent="0.25">
      <c r="A106" s="67" t="s">
        <v>414</v>
      </c>
      <c r="B106" s="66"/>
      <c r="C106" s="66">
        <v>1750</v>
      </c>
    </row>
    <row r="107" spans="1:3" x14ac:dyDescent="0.25">
      <c r="A107" s="67" t="s">
        <v>415</v>
      </c>
      <c r="B107" s="66"/>
      <c r="C107" s="66">
        <v>500</v>
      </c>
    </row>
    <row r="108" spans="1:3" x14ac:dyDescent="0.25">
      <c r="A108" s="67" t="s">
        <v>416</v>
      </c>
      <c r="B108" s="66"/>
      <c r="C108" s="66">
        <v>250</v>
      </c>
    </row>
    <row r="109" spans="1:3" x14ac:dyDescent="0.25">
      <c r="A109" s="67" t="s">
        <v>417</v>
      </c>
      <c r="B109" s="66"/>
      <c r="C109" s="66">
        <f>1000</f>
        <v>1000</v>
      </c>
    </row>
    <row r="110" spans="1:3" x14ac:dyDescent="0.25">
      <c r="A110" s="67" t="s">
        <v>418</v>
      </c>
      <c r="B110" s="66">
        <v>173.84</v>
      </c>
      <c r="C110" s="66">
        <v>1500</v>
      </c>
    </row>
    <row r="111" spans="1:3" x14ac:dyDescent="0.25">
      <c r="A111" s="74"/>
    </row>
    <row r="112" spans="1:3" x14ac:dyDescent="0.25">
      <c r="A112" s="67" t="s">
        <v>419</v>
      </c>
      <c r="B112" s="66">
        <v>66.23</v>
      </c>
      <c r="C112" s="66">
        <v>550</v>
      </c>
    </row>
    <row r="113" spans="1:3" x14ac:dyDescent="0.25">
      <c r="A113" s="67" t="s">
        <v>420</v>
      </c>
      <c r="B113" s="65"/>
      <c r="C113" s="65"/>
    </row>
    <row r="114" spans="1:3" x14ac:dyDescent="0.25">
      <c r="A114" s="67" t="s">
        <v>421</v>
      </c>
      <c r="B114" s="66"/>
      <c r="C114" s="66">
        <v>3000</v>
      </c>
    </row>
    <row r="115" spans="1:3" x14ac:dyDescent="0.25">
      <c r="A115" s="67" t="s">
        <v>422</v>
      </c>
      <c r="B115" s="66"/>
      <c r="C115" s="66">
        <v>250</v>
      </c>
    </row>
    <row r="116" spans="1:3" x14ac:dyDescent="0.25">
      <c r="A116" s="67" t="s">
        <v>423</v>
      </c>
      <c r="B116" s="28">
        <f>((B113)+(B114))+(B115)</f>
        <v>0</v>
      </c>
      <c r="C116" s="28">
        <f>((C113)+(C114))+(C115)</f>
        <v>3250</v>
      </c>
    </row>
    <row r="117" spans="1:3" x14ac:dyDescent="0.25">
      <c r="A117" s="67" t="s">
        <v>424</v>
      </c>
      <c r="B117" s="65"/>
      <c r="C117" s="65"/>
    </row>
    <row r="118" spans="1:3" x14ac:dyDescent="0.25">
      <c r="A118" s="67" t="s">
        <v>425</v>
      </c>
      <c r="B118" s="66"/>
      <c r="C118" s="66">
        <v>750</v>
      </c>
    </row>
    <row r="119" spans="1:3" x14ac:dyDescent="0.25">
      <c r="A119" s="67" t="s">
        <v>426</v>
      </c>
      <c r="B119" s="66"/>
      <c r="C119" s="66">
        <v>0</v>
      </c>
    </row>
    <row r="120" spans="1:3" x14ac:dyDescent="0.25">
      <c r="A120" s="67" t="s">
        <v>427</v>
      </c>
      <c r="B120" s="69">
        <f>((B117)+(B118))+(B119)</f>
        <v>0</v>
      </c>
      <c r="C120" s="28">
        <f>((C117)+(C118))+(C119)</f>
        <v>750</v>
      </c>
    </row>
    <row r="121" spans="1:3" x14ac:dyDescent="0.25">
      <c r="A121" s="67" t="s">
        <v>428</v>
      </c>
      <c r="B121" s="65"/>
      <c r="C121" s="65"/>
    </row>
    <row r="122" spans="1:3" x14ac:dyDescent="0.25">
      <c r="A122" s="67" t="s">
        <v>429</v>
      </c>
      <c r="B122" s="66"/>
      <c r="C122" s="66">
        <v>500</v>
      </c>
    </row>
    <row r="123" spans="1:3" x14ac:dyDescent="0.25">
      <c r="A123" s="67" t="s">
        <v>430</v>
      </c>
      <c r="B123" s="69">
        <f>(B121)+(B122)</f>
        <v>0</v>
      </c>
      <c r="C123" s="28">
        <f>(C121)+(C122)</f>
        <v>500</v>
      </c>
    </row>
    <row r="124" spans="1:3" x14ac:dyDescent="0.25">
      <c r="A124" s="67" t="s">
        <v>431</v>
      </c>
      <c r="B124" s="65"/>
      <c r="C124" s="65"/>
    </row>
    <row r="125" spans="1:3" x14ac:dyDescent="0.25">
      <c r="A125" s="67" t="s">
        <v>432</v>
      </c>
      <c r="B125" s="66"/>
      <c r="C125" s="66">
        <v>17000</v>
      </c>
    </row>
    <row r="126" spans="1:3" x14ac:dyDescent="0.25">
      <c r="A126" s="67" t="s">
        <v>433</v>
      </c>
      <c r="B126" s="66"/>
      <c r="C126" s="66">
        <v>2000</v>
      </c>
    </row>
    <row r="127" spans="1:3" x14ac:dyDescent="0.25">
      <c r="A127" s="67" t="s">
        <v>434</v>
      </c>
      <c r="B127" s="66"/>
      <c r="C127" s="66">
        <v>750</v>
      </c>
    </row>
    <row r="128" spans="1:3" x14ac:dyDescent="0.25">
      <c r="A128" s="67" t="s">
        <v>435</v>
      </c>
      <c r="B128" s="66"/>
      <c r="C128" s="66">
        <v>250</v>
      </c>
    </row>
    <row r="129" spans="1:3" x14ac:dyDescent="0.25">
      <c r="A129" s="67" t="s">
        <v>436</v>
      </c>
      <c r="B129" s="28">
        <f>((((B124)+(B125))+(B126))+(B127))+(B128)</f>
        <v>0</v>
      </c>
      <c r="C129" s="28">
        <f>((((C124)+(C125))+(C126))+(C127))+(C128)</f>
        <v>20000</v>
      </c>
    </row>
    <row r="130" spans="1:3" x14ac:dyDescent="0.25">
      <c r="A130" s="67" t="s">
        <v>437</v>
      </c>
      <c r="B130" s="66">
        <v>320</v>
      </c>
      <c r="C130" s="66">
        <v>1500</v>
      </c>
    </row>
    <row r="131" spans="1:3" x14ac:dyDescent="0.25">
      <c r="A131" s="67"/>
      <c r="B131" s="66"/>
      <c r="C131" s="66"/>
    </row>
    <row r="132" spans="1:3" x14ac:dyDescent="0.25">
      <c r="A132" s="67" t="s">
        <v>438</v>
      </c>
      <c r="B132" s="66">
        <v>0</v>
      </c>
      <c r="C132" s="66"/>
    </row>
    <row r="133" spans="1:3" x14ac:dyDescent="0.25">
      <c r="A133" s="67" t="s">
        <v>439</v>
      </c>
      <c r="B133" s="69">
        <f>B88+B89+B90+B91+B92+B93+B98+B99+B103+B104+B105+B106+B107+B108+B109+B110+B111+B112+B116+B120+B123+B129+B130</f>
        <v>2652.9200000000005</v>
      </c>
      <c r="C133" s="69">
        <f>(((((((((((((((((((((C87)+(C88))+(C90))+(C92))+(C93))+(C98))+(C99))+(C103))+(C104))+(C105))+(C106))+(C107))+(C108))+(C109))+(C110))+C91+(C112))+(C116))+(C120))+(C123))+(C129))+(C130))+(C132)</f>
        <v>48350</v>
      </c>
    </row>
    <row r="134" spans="1:3" x14ac:dyDescent="0.25">
      <c r="A134" s="67" t="s">
        <v>440</v>
      </c>
      <c r="B134" s="65"/>
      <c r="C134" s="65"/>
    </row>
    <row r="135" spans="1:3" x14ac:dyDescent="0.25">
      <c r="A135" s="67" t="s">
        <v>441</v>
      </c>
      <c r="B135" s="65"/>
      <c r="C135" s="65"/>
    </row>
    <row r="136" spans="1:3" x14ac:dyDescent="0.25">
      <c r="A136" s="67" t="s">
        <v>442</v>
      </c>
      <c r="B136" s="66"/>
      <c r="C136" s="66">
        <v>1000</v>
      </c>
    </row>
    <row r="137" spans="1:3" x14ac:dyDescent="0.25">
      <c r="A137" s="67" t="s">
        <v>443</v>
      </c>
      <c r="B137" s="66"/>
      <c r="C137" s="66">
        <v>16500</v>
      </c>
    </row>
    <row r="138" spans="1:3" x14ac:dyDescent="0.25">
      <c r="A138" s="67" t="s">
        <v>444</v>
      </c>
      <c r="B138" s="28">
        <f>((B135)+(B136))+(B137)</f>
        <v>0</v>
      </c>
      <c r="C138" s="28">
        <f>((C135)+(C136))+(C137)</f>
        <v>17500</v>
      </c>
    </row>
    <row r="139" spans="1:3" x14ac:dyDescent="0.25">
      <c r="A139" s="67" t="s">
        <v>445</v>
      </c>
      <c r="B139" s="65"/>
      <c r="C139" s="65"/>
    </row>
    <row r="140" spans="1:3" x14ac:dyDescent="0.25">
      <c r="A140" s="67" t="s">
        <v>446</v>
      </c>
      <c r="B140" s="66">
        <v>107.98</v>
      </c>
      <c r="C140" s="66">
        <v>2250</v>
      </c>
    </row>
    <row r="141" spans="1:3" x14ac:dyDescent="0.25">
      <c r="A141" s="67" t="s">
        <v>447</v>
      </c>
      <c r="B141" s="66">
        <v>70.34</v>
      </c>
      <c r="C141" s="66">
        <v>750</v>
      </c>
    </row>
    <row r="142" spans="1:3" x14ac:dyDescent="0.25">
      <c r="A142" s="67" t="s">
        <v>448</v>
      </c>
      <c r="B142" s="66"/>
      <c r="C142" s="66">
        <v>2250</v>
      </c>
    </row>
    <row r="143" spans="1:3" x14ac:dyDescent="0.25">
      <c r="A143" s="67" t="s">
        <v>449</v>
      </c>
      <c r="B143" s="28">
        <f>(((B139)+(B140))+(B141))+(B142)</f>
        <v>178.32</v>
      </c>
      <c r="C143" s="28">
        <f>(((C139)+(C140))+(C141))+(C142)</f>
        <v>5250</v>
      </c>
    </row>
    <row r="144" spans="1:3" x14ac:dyDescent="0.25">
      <c r="A144" s="67" t="s">
        <v>450</v>
      </c>
      <c r="B144" s="65"/>
      <c r="C144" s="65"/>
    </row>
    <row r="145" spans="1:3" x14ac:dyDescent="0.25">
      <c r="A145" s="67" t="s">
        <v>451</v>
      </c>
      <c r="B145" s="66"/>
      <c r="C145" s="66">
        <v>500</v>
      </c>
    </row>
    <row r="146" spans="1:3" x14ac:dyDescent="0.25">
      <c r="A146" s="67" t="s">
        <v>452</v>
      </c>
      <c r="B146" s="66"/>
      <c r="C146" s="66">
        <v>750</v>
      </c>
    </row>
    <row r="147" spans="1:3" x14ac:dyDescent="0.25">
      <c r="A147" s="67" t="s">
        <v>453</v>
      </c>
      <c r="B147" s="66">
        <v>103.95</v>
      </c>
      <c r="C147" s="66">
        <v>500</v>
      </c>
    </row>
    <row r="148" spans="1:3" x14ac:dyDescent="0.25">
      <c r="A148" s="67" t="s">
        <v>454</v>
      </c>
      <c r="B148" s="66"/>
      <c r="C148" s="66">
        <v>250</v>
      </c>
    </row>
    <row r="149" spans="1:3" x14ac:dyDescent="0.25">
      <c r="A149" s="67" t="s">
        <v>455</v>
      </c>
      <c r="B149" s="66"/>
      <c r="C149" s="66">
        <v>2750</v>
      </c>
    </row>
    <row r="150" spans="1:3" x14ac:dyDescent="0.25">
      <c r="A150" s="67" t="s">
        <v>456</v>
      </c>
      <c r="B150" s="66"/>
      <c r="C150" s="66">
        <v>250</v>
      </c>
    </row>
    <row r="151" spans="1:3" x14ac:dyDescent="0.25">
      <c r="A151" s="67" t="s">
        <v>457</v>
      </c>
      <c r="B151" s="66"/>
      <c r="C151" s="66">
        <v>2000</v>
      </c>
    </row>
    <row r="152" spans="1:3" x14ac:dyDescent="0.25">
      <c r="A152" s="67" t="s">
        <v>458</v>
      </c>
      <c r="B152" s="28">
        <f>(((((((B144)+(B145))+(B146))+(B147))+(B148))+(B149))+(B150))+(B151)</f>
        <v>103.95</v>
      </c>
      <c r="C152" s="28">
        <f>(((((((C144)+(C145))+(C146))+(C147))+(C148))+(C149))+(C150))+(C151)</f>
        <v>7000</v>
      </c>
    </row>
    <row r="153" spans="1:3" x14ac:dyDescent="0.25">
      <c r="A153" s="67" t="s">
        <v>459</v>
      </c>
      <c r="B153" s="65"/>
      <c r="C153" s="65"/>
    </row>
    <row r="154" spans="1:3" x14ac:dyDescent="0.25">
      <c r="A154" s="67" t="s">
        <v>460</v>
      </c>
      <c r="B154" s="66"/>
      <c r="C154" s="66">
        <v>150</v>
      </c>
    </row>
    <row r="155" spans="1:3" x14ac:dyDescent="0.25">
      <c r="A155" s="67" t="s">
        <v>461</v>
      </c>
      <c r="B155" s="66"/>
      <c r="C155" s="66">
        <v>150</v>
      </c>
    </row>
    <row r="156" spans="1:3" x14ac:dyDescent="0.25">
      <c r="A156" s="67" t="s">
        <v>462</v>
      </c>
      <c r="B156" s="66"/>
      <c r="C156" s="66">
        <v>1000</v>
      </c>
    </row>
    <row r="157" spans="1:3" x14ac:dyDescent="0.25">
      <c r="A157" s="67" t="s">
        <v>463</v>
      </c>
      <c r="B157" s="66"/>
      <c r="C157" s="66">
        <v>1500</v>
      </c>
    </row>
    <row r="158" spans="1:3" x14ac:dyDescent="0.25">
      <c r="A158" s="67" t="s">
        <v>464</v>
      </c>
      <c r="B158" s="66"/>
      <c r="C158" s="66">
        <v>750</v>
      </c>
    </row>
    <row r="159" spans="1:3" x14ac:dyDescent="0.25">
      <c r="A159" s="67" t="s">
        <v>465</v>
      </c>
      <c r="B159" s="66"/>
      <c r="C159" s="66">
        <v>500</v>
      </c>
    </row>
    <row r="160" spans="1:3" x14ac:dyDescent="0.25">
      <c r="A160" s="67" t="s">
        <v>466</v>
      </c>
      <c r="B160" s="66"/>
      <c r="C160" s="66">
        <v>4000</v>
      </c>
    </row>
    <row r="161" spans="1:3" x14ac:dyDescent="0.25">
      <c r="A161" s="67" t="s">
        <v>467</v>
      </c>
      <c r="B161" s="66"/>
      <c r="C161" s="66">
        <v>3250</v>
      </c>
    </row>
    <row r="162" spans="1:3" x14ac:dyDescent="0.25">
      <c r="A162" s="67" t="s">
        <v>468</v>
      </c>
      <c r="B162" s="66"/>
      <c r="C162" s="66">
        <v>0</v>
      </c>
    </row>
    <row r="163" spans="1:3" x14ac:dyDescent="0.25">
      <c r="A163" s="67" t="s">
        <v>469</v>
      </c>
      <c r="B163" s="66"/>
      <c r="C163" s="66">
        <v>250</v>
      </c>
    </row>
    <row r="164" spans="1:3" x14ac:dyDescent="0.25">
      <c r="A164" s="67" t="s">
        <v>470</v>
      </c>
      <c r="B164" s="28">
        <f>SUM(B154:B163)</f>
        <v>0</v>
      </c>
      <c r="C164" s="28">
        <f>(((((((((C153)+(C154))+(C155))+(C156))+(C157))+(C158))+(C159))+(C160))+(C161))+(C163)</f>
        <v>11550</v>
      </c>
    </row>
    <row r="165" spans="1:3" x14ac:dyDescent="0.25">
      <c r="A165" s="67" t="s">
        <v>471</v>
      </c>
      <c r="B165" s="28">
        <f>((((B134)+(B138))+(B143))+(B152))+(B164)</f>
        <v>282.27</v>
      </c>
      <c r="C165" s="28">
        <f>((((C134)+(C138))+(C143))+(C152))+(C164)</f>
        <v>41300</v>
      </c>
    </row>
    <row r="166" spans="1:3" x14ac:dyDescent="0.25">
      <c r="A166" s="67" t="s">
        <v>472</v>
      </c>
      <c r="B166" s="69">
        <f>(((((B38)+(B57))+(B73))+(B86))+(B133))+(B165)</f>
        <v>20490.11</v>
      </c>
      <c r="C166" s="28">
        <f>(((((C38)+(C57))+(C73))+(C86))+(C133))+(C165)</f>
        <v>345186.4</v>
      </c>
    </row>
    <row r="167" spans="1:3" x14ac:dyDescent="0.25">
      <c r="A167" s="67" t="s">
        <v>314</v>
      </c>
      <c r="B167" s="28">
        <f>B166</f>
        <v>20490.11</v>
      </c>
      <c r="C167" s="28">
        <f>C166</f>
        <v>345186.4</v>
      </c>
    </row>
    <row r="168" spans="1:3" x14ac:dyDescent="0.25">
      <c r="A168" s="67" t="s">
        <v>315</v>
      </c>
      <c r="B168" s="28">
        <f>(B36)-(B167)</f>
        <v>33026.06</v>
      </c>
      <c r="C168" s="28">
        <f>(C36)-(C167)</f>
        <v>0</v>
      </c>
    </row>
    <row r="169" spans="1:3" x14ac:dyDescent="0.25">
      <c r="A169" s="67"/>
      <c r="B169" s="28"/>
      <c r="C169" s="28"/>
    </row>
    <row r="170" spans="1:3" x14ac:dyDescent="0.25">
      <c r="A170" s="67"/>
      <c r="B170" s="78"/>
      <c r="C170" s="65"/>
    </row>
    <row r="171" spans="1:3" x14ac:dyDescent="0.25">
      <c r="A171" s="67"/>
      <c r="B171" s="78"/>
      <c r="C171" s="65"/>
    </row>
    <row r="172" spans="1:3" x14ac:dyDescent="0.25">
      <c r="A172" s="67"/>
      <c r="B172" s="78"/>
      <c r="C172" s="65"/>
    </row>
    <row r="173" spans="1:3" x14ac:dyDescent="0.25">
      <c r="A173" s="67"/>
      <c r="B173" s="78"/>
      <c r="C173" s="65"/>
    </row>
    <row r="174" spans="1:3" x14ac:dyDescent="0.25">
      <c r="A174" s="67"/>
      <c r="B174" s="78"/>
      <c r="C174" s="65"/>
    </row>
    <row r="175" spans="1:3" x14ac:dyDescent="0.25">
      <c r="A175" s="67" t="s">
        <v>473</v>
      </c>
      <c r="B175" s="79">
        <v>0</v>
      </c>
      <c r="C175" s="80">
        <f>SUM(B168:B175)</f>
        <v>33026.06</v>
      </c>
    </row>
    <row r="176" spans="1:3" x14ac:dyDescent="0.25">
      <c r="A176" s="67"/>
      <c r="B176" s="78"/>
      <c r="C176" s="80"/>
    </row>
    <row r="177" spans="1:2" x14ac:dyDescent="0.25">
      <c r="A177" s="74" t="s">
        <v>474</v>
      </c>
      <c r="B177" s="72">
        <v>-23817.17</v>
      </c>
    </row>
    <row r="178" spans="1:2" x14ac:dyDescent="0.25">
      <c r="A178" s="74" t="s">
        <v>318</v>
      </c>
      <c r="B178" s="72"/>
    </row>
    <row r="179" spans="1:2" x14ac:dyDescent="0.25">
      <c r="A179" s="74"/>
      <c r="B179" s="72"/>
    </row>
    <row r="180" spans="1:2" x14ac:dyDescent="0.25">
      <c r="A180" s="74"/>
      <c r="B180" s="78"/>
    </row>
    <row r="181" spans="1:2" x14ac:dyDescent="0.25">
      <c r="A181" s="74" t="s">
        <v>320</v>
      </c>
      <c r="B181" s="72">
        <v>0</v>
      </c>
    </row>
    <row r="182" spans="1:2" x14ac:dyDescent="0.25">
      <c r="A182" s="74" t="s">
        <v>321</v>
      </c>
      <c r="B182" s="72">
        <v>48373.31</v>
      </c>
    </row>
    <row r="183" spans="1:2" x14ac:dyDescent="0.25">
      <c r="A183" s="74" t="s">
        <v>475</v>
      </c>
      <c r="B183" s="81"/>
    </row>
    <row r="184" spans="1:2" x14ac:dyDescent="0.25">
      <c r="A184" s="74"/>
    </row>
    <row r="185" spans="1:2" x14ac:dyDescent="0.25">
      <c r="A185" s="74" t="s">
        <v>476</v>
      </c>
      <c r="B185" s="81"/>
    </row>
    <row r="186" spans="1:2" x14ac:dyDescent="0.25">
      <c r="A186" s="74"/>
      <c r="B186" s="72"/>
    </row>
    <row r="187" spans="1:2" ht="15.75" thickBot="1" x14ac:dyDescent="0.3">
      <c r="A187" s="75" t="s">
        <v>322</v>
      </c>
      <c r="B187" s="73">
        <f>SUM(B168:B185)</f>
        <v>57582.2</v>
      </c>
    </row>
    <row r="188" spans="1:2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8F2D-26F6-442D-A9FF-E2AD217BDB11}">
  <dimension ref="A1:F158"/>
  <sheetViews>
    <sheetView tabSelected="1" topLeftCell="A47" workbookViewId="0">
      <selection activeCell="B31" sqref="B31"/>
    </sheetView>
  </sheetViews>
  <sheetFormatPr defaultRowHeight="15" x14ac:dyDescent="0.25"/>
  <cols>
    <col min="1" max="1" width="47.28515625" bestFit="1" customWidth="1"/>
    <col min="2" max="3" width="9.5703125" bestFit="1" customWidth="1"/>
    <col min="4" max="6" width="10.140625" bestFit="1" customWidth="1"/>
  </cols>
  <sheetData>
    <row r="1" spans="1:6" ht="18" x14ac:dyDescent="0.25">
      <c r="A1" s="57" t="s">
        <v>46</v>
      </c>
      <c r="B1" s="58"/>
      <c r="C1" s="58"/>
      <c r="D1" s="58"/>
      <c r="E1" s="58"/>
      <c r="F1" s="58"/>
    </row>
    <row r="2" spans="1:6" ht="18" x14ac:dyDescent="0.25">
      <c r="A2" s="57" t="s">
        <v>477</v>
      </c>
      <c r="B2" s="58"/>
      <c r="C2" s="58"/>
      <c r="D2" s="58"/>
      <c r="E2" s="58"/>
      <c r="F2" s="58"/>
    </row>
    <row r="3" spans="1:6" x14ac:dyDescent="0.25">
      <c r="A3" s="59" t="s">
        <v>478</v>
      </c>
      <c r="B3" s="58"/>
      <c r="C3" s="58"/>
      <c r="D3" s="58"/>
      <c r="E3" s="58"/>
      <c r="F3" s="58"/>
    </row>
    <row r="5" spans="1:6" ht="24.75" x14ac:dyDescent="0.25">
      <c r="A5" s="60"/>
      <c r="B5" s="63" t="s">
        <v>479</v>
      </c>
      <c r="C5" s="63" t="s">
        <v>480</v>
      </c>
      <c r="D5" s="63" t="s">
        <v>481</v>
      </c>
      <c r="E5" s="63" t="s">
        <v>482</v>
      </c>
      <c r="F5" s="63" t="s">
        <v>483</v>
      </c>
    </row>
    <row r="6" spans="1:6" x14ac:dyDescent="0.25">
      <c r="A6" s="67" t="s">
        <v>200</v>
      </c>
      <c r="B6" s="65"/>
      <c r="C6" s="65"/>
      <c r="D6" s="65"/>
      <c r="E6" s="65"/>
      <c r="F6" s="65"/>
    </row>
    <row r="7" spans="1:6" x14ac:dyDescent="0.25">
      <c r="A7" s="67" t="s">
        <v>201</v>
      </c>
      <c r="B7" s="65"/>
      <c r="C7" s="65"/>
      <c r="D7" s="65"/>
      <c r="E7" s="65"/>
      <c r="F7" s="66">
        <f t="shared" ref="F7:F46" si="0">(((B7)+(C7))+(D7))+(E7)</f>
        <v>0</v>
      </c>
    </row>
    <row r="8" spans="1:6" x14ac:dyDescent="0.25">
      <c r="A8" s="67" t="s">
        <v>202</v>
      </c>
      <c r="B8" s="65"/>
      <c r="C8" s="65"/>
      <c r="D8" s="65"/>
      <c r="E8" s="65"/>
      <c r="F8" s="66">
        <f t="shared" si="0"/>
        <v>0</v>
      </c>
    </row>
    <row r="9" spans="1:6" x14ac:dyDescent="0.25">
      <c r="A9" s="67" t="s">
        <v>203</v>
      </c>
      <c r="B9" s="65"/>
      <c r="C9" s="65"/>
      <c r="D9" s="66">
        <f>172007</f>
        <v>172007</v>
      </c>
      <c r="E9" s="65"/>
      <c r="F9" s="66">
        <f t="shared" si="0"/>
        <v>172007</v>
      </c>
    </row>
    <row r="10" spans="1:6" x14ac:dyDescent="0.25">
      <c r="A10" s="67" t="s">
        <v>484</v>
      </c>
      <c r="B10" s="65"/>
      <c r="C10" s="65"/>
      <c r="D10" s="66">
        <f>-163320.75</f>
        <v>-163320.75</v>
      </c>
      <c r="E10" s="65"/>
      <c r="F10" s="66">
        <f t="shared" si="0"/>
        <v>-163320.75</v>
      </c>
    </row>
    <row r="11" spans="1:6" x14ac:dyDescent="0.25">
      <c r="A11" s="67" t="s">
        <v>204</v>
      </c>
      <c r="B11" s="28">
        <f>((B8)+(B9))+(B10)</f>
        <v>0</v>
      </c>
      <c r="C11" s="28">
        <f>((C8)+(C9))+(C10)</f>
        <v>0</v>
      </c>
      <c r="D11" s="28">
        <f>((D8)+(D9))+(D10)</f>
        <v>8686.25</v>
      </c>
      <c r="E11" s="28">
        <f>((E8)+(E9))+(E10)</f>
        <v>0</v>
      </c>
      <c r="F11" s="28">
        <f t="shared" si="0"/>
        <v>8686.25</v>
      </c>
    </row>
    <row r="12" spans="1:6" x14ac:dyDescent="0.25">
      <c r="A12" s="67" t="s">
        <v>205</v>
      </c>
      <c r="B12" s="65"/>
      <c r="C12" s="65"/>
      <c r="D12" s="65"/>
      <c r="E12" s="65"/>
      <c r="F12" s="66">
        <f t="shared" si="0"/>
        <v>0</v>
      </c>
    </row>
    <row r="13" spans="1:6" x14ac:dyDescent="0.25">
      <c r="A13" s="67" t="s">
        <v>206</v>
      </c>
      <c r="B13" s="65"/>
      <c r="C13" s="65"/>
      <c r="D13" s="65"/>
      <c r="E13" s="65"/>
      <c r="F13" s="66">
        <f t="shared" si="0"/>
        <v>0</v>
      </c>
    </row>
    <row r="14" spans="1:6" x14ac:dyDescent="0.25">
      <c r="A14" s="67" t="s">
        <v>207</v>
      </c>
      <c r="B14" s="65"/>
      <c r="C14" s="65"/>
      <c r="D14" s="65"/>
      <c r="E14" s="66">
        <f>178550</f>
        <v>178550</v>
      </c>
      <c r="F14" s="66">
        <f t="shared" si="0"/>
        <v>178550</v>
      </c>
    </row>
    <row r="15" spans="1:6" x14ac:dyDescent="0.25">
      <c r="A15" s="67" t="s">
        <v>485</v>
      </c>
      <c r="B15" s="65"/>
      <c r="C15" s="65"/>
      <c r="D15" s="65"/>
      <c r="E15" s="66">
        <f>-158723.25</f>
        <v>-158723.25</v>
      </c>
      <c r="F15" s="66">
        <f t="shared" si="0"/>
        <v>-158723.25</v>
      </c>
    </row>
    <row r="16" spans="1:6" x14ac:dyDescent="0.25">
      <c r="A16" s="67" t="s">
        <v>208</v>
      </c>
      <c r="B16" s="28">
        <f>((B13)+(B14))+(B15)</f>
        <v>0</v>
      </c>
      <c r="C16" s="28">
        <f>((C13)+(C14))+(C15)</f>
        <v>0</v>
      </c>
      <c r="D16" s="28">
        <f>((D13)+(D14))+(D15)</f>
        <v>0</v>
      </c>
      <c r="E16" s="28">
        <f>((E13)+(E14))+(E15)</f>
        <v>19826.75</v>
      </c>
      <c r="F16" s="28">
        <f t="shared" si="0"/>
        <v>19826.75</v>
      </c>
    </row>
    <row r="17" spans="1:6" x14ac:dyDescent="0.25">
      <c r="A17" s="67" t="s">
        <v>209</v>
      </c>
      <c r="B17" s="28">
        <f>(B12)+(B16)</f>
        <v>0</v>
      </c>
      <c r="C17" s="28">
        <f>(C12)+(C16)</f>
        <v>0</v>
      </c>
      <c r="D17" s="28">
        <f>(D12)+(D16)</f>
        <v>0</v>
      </c>
      <c r="E17" s="28">
        <f>(E12)+(E16)</f>
        <v>19826.75</v>
      </c>
      <c r="F17" s="28">
        <f t="shared" si="0"/>
        <v>19826.75</v>
      </c>
    </row>
    <row r="18" spans="1:6" x14ac:dyDescent="0.25">
      <c r="A18" s="67" t="s">
        <v>210</v>
      </c>
      <c r="B18" s="65"/>
      <c r="C18" s="65"/>
      <c r="D18" s="65"/>
      <c r="E18" s="65"/>
      <c r="F18" s="66">
        <f t="shared" si="0"/>
        <v>0</v>
      </c>
    </row>
    <row r="19" spans="1:6" x14ac:dyDescent="0.25">
      <c r="A19" s="67" t="s">
        <v>214</v>
      </c>
      <c r="B19" s="65"/>
      <c r="C19" s="65"/>
      <c r="D19" s="65"/>
      <c r="E19" s="65"/>
      <c r="F19" s="66">
        <f t="shared" si="0"/>
        <v>0</v>
      </c>
    </row>
    <row r="20" spans="1:6" x14ac:dyDescent="0.25">
      <c r="A20" s="67" t="s">
        <v>217</v>
      </c>
      <c r="B20" s="65"/>
      <c r="C20" s="65"/>
      <c r="D20" s="65"/>
      <c r="E20" s="66">
        <f>5000</f>
        <v>5000</v>
      </c>
      <c r="F20" s="66">
        <f t="shared" si="0"/>
        <v>5000</v>
      </c>
    </row>
    <row r="21" spans="1:6" x14ac:dyDescent="0.25">
      <c r="A21" s="67" t="s">
        <v>486</v>
      </c>
      <c r="B21" s="65"/>
      <c r="C21" s="65"/>
      <c r="D21" s="65"/>
      <c r="E21" s="66">
        <f>2.51</f>
        <v>2.5099999999999998</v>
      </c>
      <c r="F21" s="66">
        <f t="shared" si="0"/>
        <v>2.5099999999999998</v>
      </c>
    </row>
    <row r="22" spans="1:6" x14ac:dyDescent="0.25">
      <c r="A22" s="67" t="s">
        <v>218</v>
      </c>
      <c r="B22" s="28">
        <f>((B19)+(B20))+(B21)</f>
        <v>0</v>
      </c>
      <c r="C22" s="28">
        <f>((C19)+(C20))+(C21)</f>
        <v>0</v>
      </c>
      <c r="D22" s="28">
        <f>((D19)+(D20))+(D21)</f>
        <v>0</v>
      </c>
      <c r="E22" s="28">
        <f>((E19)+(E20))+(E21)</f>
        <v>5002.51</v>
      </c>
      <c r="F22" s="28">
        <f t="shared" si="0"/>
        <v>5002.51</v>
      </c>
    </row>
    <row r="23" spans="1:6" x14ac:dyDescent="0.25">
      <c r="A23" s="67" t="s">
        <v>219</v>
      </c>
      <c r="B23" s="28">
        <f>(B18)+(B22)</f>
        <v>0</v>
      </c>
      <c r="C23" s="28">
        <f>(C18)+(C22)</f>
        <v>0</v>
      </c>
      <c r="D23" s="28">
        <f>(D18)+(D22)</f>
        <v>0</v>
      </c>
      <c r="E23" s="28">
        <f>(E18)+(E22)</f>
        <v>5002.51</v>
      </c>
      <c r="F23" s="28">
        <f t="shared" si="0"/>
        <v>5002.51</v>
      </c>
    </row>
    <row r="24" spans="1:6" x14ac:dyDescent="0.25">
      <c r="A24" s="67" t="s">
        <v>220</v>
      </c>
      <c r="B24" s="28">
        <f>(((B7)+(B11))+(B17))+(B23)</f>
        <v>0</v>
      </c>
      <c r="C24" s="28">
        <f>(((C7)+(C11))+(C17))+(C23)</f>
        <v>0</v>
      </c>
      <c r="D24" s="28">
        <f>(((D7)+(D11))+(D17))+(D23)</f>
        <v>8686.25</v>
      </c>
      <c r="E24" s="28">
        <f>(((E7)+(E11))+(E17))+(E23)</f>
        <v>24829.260000000002</v>
      </c>
      <c r="F24" s="28">
        <f t="shared" si="0"/>
        <v>33515.51</v>
      </c>
    </row>
    <row r="25" spans="1:6" x14ac:dyDescent="0.25">
      <c r="A25" s="67" t="s">
        <v>324</v>
      </c>
      <c r="B25" s="65"/>
      <c r="C25" s="65"/>
      <c r="D25" s="65"/>
      <c r="E25" s="65"/>
      <c r="F25" s="66">
        <f t="shared" si="0"/>
        <v>0</v>
      </c>
    </row>
    <row r="26" spans="1:6" x14ac:dyDescent="0.25">
      <c r="A26" s="67" t="s">
        <v>325</v>
      </c>
      <c r="B26" s="65"/>
      <c r="C26" s="65"/>
      <c r="D26" s="65"/>
      <c r="E26" s="65"/>
      <c r="F26" s="66">
        <f t="shared" si="0"/>
        <v>0</v>
      </c>
    </row>
    <row r="27" spans="1:6" x14ac:dyDescent="0.25">
      <c r="A27" s="67" t="s">
        <v>326</v>
      </c>
      <c r="B27" s="66">
        <f>16575</f>
        <v>16575</v>
      </c>
      <c r="C27" s="65"/>
      <c r="D27" s="65"/>
      <c r="E27" s="65"/>
      <c r="F27" s="66">
        <f t="shared" si="0"/>
        <v>16575</v>
      </c>
    </row>
    <row r="28" spans="1:6" x14ac:dyDescent="0.25">
      <c r="A28" s="67" t="s">
        <v>327</v>
      </c>
      <c r="B28" s="66">
        <f>3000</f>
        <v>3000</v>
      </c>
      <c r="C28" s="65"/>
      <c r="D28" s="65"/>
      <c r="E28" s="65"/>
      <c r="F28" s="66">
        <f t="shared" si="0"/>
        <v>3000</v>
      </c>
    </row>
    <row r="29" spans="1:6" x14ac:dyDescent="0.25">
      <c r="A29" s="67" t="s">
        <v>328</v>
      </c>
      <c r="B29" s="66">
        <f>400</f>
        <v>400</v>
      </c>
      <c r="C29" s="65"/>
      <c r="D29" s="65"/>
      <c r="E29" s="65"/>
      <c r="F29" s="66">
        <f t="shared" si="0"/>
        <v>400</v>
      </c>
    </row>
    <row r="30" spans="1:6" x14ac:dyDescent="0.25">
      <c r="A30" s="67" t="s">
        <v>329</v>
      </c>
      <c r="B30" s="66">
        <f>160</f>
        <v>160</v>
      </c>
      <c r="C30" s="65"/>
      <c r="D30" s="65"/>
      <c r="E30" s="65"/>
      <c r="F30" s="66">
        <f t="shared" si="0"/>
        <v>160</v>
      </c>
    </row>
    <row r="31" spans="1:6" x14ac:dyDescent="0.25">
      <c r="A31" s="67" t="s">
        <v>330</v>
      </c>
      <c r="B31" s="28">
        <f>((((B26)+(B27))+(B28))+(B29))+(B30)</f>
        <v>20135</v>
      </c>
      <c r="C31" s="28">
        <f>((((C26)+(C27))+(C28))+(C29))+(C30)</f>
        <v>0</v>
      </c>
      <c r="D31" s="28">
        <f>((((D26)+(D27))+(D28))+(D29))+(D30)</f>
        <v>0</v>
      </c>
      <c r="E31" s="28">
        <f>((((E26)+(E27))+(E28))+(E29))+(E30)</f>
        <v>0</v>
      </c>
      <c r="F31" s="28">
        <f t="shared" si="0"/>
        <v>20135</v>
      </c>
    </row>
    <row r="32" spans="1:6" x14ac:dyDescent="0.25">
      <c r="A32" s="67" t="s">
        <v>331</v>
      </c>
      <c r="B32" s="65"/>
      <c r="C32" s="65"/>
      <c r="D32" s="65"/>
      <c r="E32" s="65"/>
      <c r="F32" s="66">
        <f t="shared" si="0"/>
        <v>0</v>
      </c>
    </row>
    <row r="33" spans="1:6" x14ac:dyDescent="0.25">
      <c r="A33" s="67" t="s">
        <v>332</v>
      </c>
      <c r="B33" s="65"/>
      <c r="C33" s="65"/>
      <c r="D33" s="65"/>
      <c r="E33" s="65"/>
      <c r="F33" s="66">
        <f t="shared" si="0"/>
        <v>0</v>
      </c>
    </row>
    <row r="34" spans="1:6" x14ac:dyDescent="0.25">
      <c r="A34" s="67" t="s">
        <v>333</v>
      </c>
      <c r="B34" s="66">
        <f>12360</f>
        <v>12360</v>
      </c>
      <c r="C34" s="65"/>
      <c r="D34" s="65"/>
      <c r="E34" s="65"/>
      <c r="F34" s="66">
        <f t="shared" si="0"/>
        <v>12360</v>
      </c>
    </row>
    <row r="35" spans="1:6" x14ac:dyDescent="0.25">
      <c r="A35" s="67" t="s">
        <v>334</v>
      </c>
      <c r="B35" s="66">
        <f>450</f>
        <v>450</v>
      </c>
      <c r="C35" s="65"/>
      <c r="D35" s="65"/>
      <c r="E35" s="65"/>
      <c r="F35" s="66">
        <f t="shared" si="0"/>
        <v>450</v>
      </c>
    </row>
    <row r="36" spans="1:6" x14ac:dyDescent="0.25">
      <c r="A36" s="67" t="s">
        <v>335</v>
      </c>
      <c r="B36" s="66">
        <f>2500</f>
        <v>2500</v>
      </c>
      <c r="C36" s="65"/>
      <c r="D36" s="65"/>
      <c r="E36" s="65"/>
      <c r="F36" s="66">
        <f t="shared" si="0"/>
        <v>2500</v>
      </c>
    </row>
    <row r="37" spans="1:6" x14ac:dyDescent="0.25">
      <c r="A37" s="67" t="s">
        <v>336</v>
      </c>
      <c r="B37" s="66">
        <f>2821.14</f>
        <v>2821.14</v>
      </c>
      <c r="C37" s="65"/>
      <c r="D37" s="65"/>
      <c r="E37" s="65"/>
      <c r="F37" s="66">
        <f t="shared" si="0"/>
        <v>2821.14</v>
      </c>
    </row>
    <row r="38" spans="1:6" x14ac:dyDescent="0.25">
      <c r="A38" s="67" t="s">
        <v>338</v>
      </c>
      <c r="B38" s="66">
        <f>15000</f>
        <v>15000</v>
      </c>
      <c r="C38" s="65"/>
      <c r="D38" s="65"/>
      <c r="E38" s="65"/>
      <c r="F38" s="66">
        <f t="shared" si="0"/>
        <v>15000</v>
      </c>
    </row>
    <row r="39" spans="1:6" x14ac:dyDescent="0.25">
      <c r="A39" s="67" t="s">
        <v>339</v>
      </c>
      <c r="B39" s="66">
        <f>250</f>
        <v>250</v>
      </c>
      <c r="C39" s="65"/>
      <c r="D39" s="65"/>
      <c r="E39" s="65"/>
      <c r="F39" s="66">
        <f t="shared" si="0"/>
        <v>250</v>
      </c>
    </row>
    <row r="40" spans="1:6" x14ac:dyDescent="0.25">
      <c r="A40" s="67" t="s">
        <v>340</v>
      </c>
      <c r="B40" s="28">
        <f>((((((B33)+(B34))+(B35))+(B36))+(B37))+(B38))+(B39)</f>
        <v>33381.14</v>
      </c>
      <c r="C40" s="28">
        <f>((((((C33)+(C34))+(C35))+(C36))+(C37))+(C38))+(C39)</f>
        <v>0</v>
      </c>
      <c r="D40" s="28">
        <f>((((((D33)+(D34))+(D35))+(D36))+(D37))+(D38))+(D39)</f>
        <v>0</v>
      </c>
      <c r="E40" s="28">
        <f>((((((E33)+(E34))+(E35))+(E36))+(E37))+(E38))+(E39)</f>
        <v>0</v>
      </c>
      <c r="F40" s="28">
        <f t="shared" si="0"/>
        <v>33381.14</v>
      </c>
    </row>
    <row r="41" spans="1:6" x14ac:dyDescent="0.25">
      <c r="A41" s="67" t="s">
        <v>343</v>
      </c>
      <c r="B41" s="66">
        <f>0.03</f>
        <v>0.03</v>
      </c>
      <c r="C41" s="65"/>
      <c r="D41" s="65"/>
      <c r="E41" s="65"/>
      <c r="F41" s="66">
        <f t="shared" si="0"/>
        <v>0.03</v>
      </c>
    </row>
    <row r="42" spans="1:6" x14ac:dyDescent="0.25">
      <c r="A42" s="67" t="s">
        <v>347</v>
      </c>
      <c r="B42" s="28">
        <f>((B32)+(B40))+(B41)</f>
        <v>33381.17</v>
      </c>
      <c r="C42" s="28">
        <f>((C32)+(C40))+(C41)</f>
        <v>0</v>
      </c>
      <c r="D42" s="28">
        <f>((D32)+(D40))+(D41)</f>
        <v>0</v>
      </c>
      <c r="E42" s="28">
        <f>((E32)+(E40))+(E41)</f>
        <v>0</v>
      </c>
      <c r="F42" s="28">
        <f t="shared" si="0"/>
        <v>33381.17</v>
      </c>
    </row>
    <row r="43" spans="1:6" x14ac:dyDescent="0.25">
      <c r="A43" s="67" t="s">
        <v>348</v>
      </c>
      <c r="B43" s="28">
        <f>((B25)+(B31))+(B42)</f>
        <v>53516.17</v>
      </c>
      <c r="C43" s="28">
        <f>((C25)+(C31))+(C42)</f>
        <v>0</v>
      </c>
      <c r="D43" s="28">
        <f>((D25)+(D31))+(D42)</f>
        <v>0</v>
      </c>
      <c r="E43" s="28">
        <f>((E25)+(E31))+(E42)</f>
        <v>0</v>
      </c>
      <c r="F43" s="28">
        <f t="shared" si="0"/>
        <v>53516.17</v>
      </c>
    </row>
    <row r="44" spans="1:6" x14ac:dyDescent="0.25">
      <c r="A44" s="67" t="s">
        <v>487</v>
      </c>
      <c r="B44" s="65"/>
      <c r="C44" s="66">
        <f>0</f>
        <v>0</v>
      </c>
      <c r="D44" s="65"/>
      <c r="E44" s="65"/>
      <c r="F44" s="66">
        <f t="shared" si="0"/>
        <v>0</v>
      </c>
    </row>
    <row r="45" spans="1:6" x14ac:dyDescent="0.25">
      <c r="A45" s="67" t="s">
        <v>221</v>
      </c>
      <c r="B45" s="28">
        <f>((B24)+(B43))+(B44)</f>
        <v>53516.17</v>
      </c>
      <c r="C45" s="28">
        <f>((C24)+(C43))+(C44)</f>
        <v>0</v>
      </c>
      <c r="D45" s="28">
        <f>((D24)+(D43))+(D44)</f>
        <v>8686.25</v>
      </c>
      <c r="E45" s="28">
        <f>((E24)+(E43))+(E44)</f>
        <v>24829.260000000002</v>
      </c>
      <c r="F45" s="28">
        <f t="shared" si="0"/>
        <v>87031.679999999993</v>
      </c>
    </row>
    <row r="46" spans="1:6" x14ac:dyDescent="0.25">
      <c r="A46" s="67" t="s">
        <v>222</v>
      </c>
      <c r="B46" s="28">
        <f>(B45)-(0)</f>
        <v>53516.17</v>
      </c>
      <c r="C46" s="28">
        <f>(C45)-(0)</f>
        <v>0</v>
      </c>
      <c r="D46" s="28">
        <f>(D45)-(0)</f>
        <v>8686.25</v>
      </c>
      <c r="E46" s="28">
        <f>(E45)-(0)</f>
        <v>24829.260000000002</v>
      </c>
      <c r="F46" s="28">
        <f t="shared" si="0"/>
        <v>87031.679999999993</v>
      </c>
    </row>
    <row r="47" spans="1:6" x14ac:dyDescent="0.25">
      <c r="A47" s="67" t="s">
        <v>223</v>
      </c>
      <c r="B47" s="65"/>
      <c r="C47" s="65"/>
      <c r="D47" s="65"/>
      <c r="E47" s="65"/>
      <c r="F47" s="65"/>
    </row>
    <row r="48" spans="1:6" x14ac:dyDescent="0.25">
      <c r="A48" s="67" t="s">
        <v>349</v>
      </c>
      <c r="B48" s="65"/>
      <c r="C48" s="65"/>
      <c r="D48" s="65"/>
      <c r="E48" s="65"/>
      <c r="F48" s="66">
        <f t="shared" ref="F48:F111" si="1">(((B48)+(C48))+(D48))+(E48)</f>
        <v>0</v>
      </c>
    </row>
    <row r="49" spans="1:6" x14ac:dyDescent="0.25">
      <c r="A49" s="67" t="s">
        <v>350</v>
      </c>
      <c r="B49" s="65"/>
      <c r="C49" s="65"/>
      <c r="D49" s="65"/>
      <c r="E49" s="65"/>
      <c r="F49" s="66">
        <f t="shared" si="1"/>
        <v>0</v>
      </c>
    </row>
    <row r="50" spans="1:6" x14ac:dyDescent="0.25">
      <c r="A50" s="67" t="s">
        <v>488</v>
      </c>
      <c r="B50" s="66">
        <f>1701.5</f>
        <v>1701.5</v>
      </c>
      <c r="C50" s="65"/>
      <c r="D50" s="65"/>
      <c r="E50" s="65"/>
      <c r="F50" s="66">
        <f t="shared" si="1"/>
        <v>1701.5</v>
      </c>
    </row>
    <row r="51" spans="1:6" x14ac:dyDescent="0.25">
      <c r="A51" s="67" t="s">
        <v>368</v>
      </c>
      <c r="B51" s="28">
        <f>(B49)+(B50)</f>
        <v>1701.5</v>
      </c>
      <c r="C51" s="28">
        <f>(C49)+(C50)</f>
        <v>0</v>
      </c>
      <c r="D51" s="28">
        <f>(D49)+(D50)</f>
        <v>0</v>
      </c>
      <c r="E51" s="28">
        <f>(E49)+(E50)</f>
        <v>0</v>
      </c>
      <c r="F51" s="28">
        <f t="shared" si="1"/>
        <v>1701.5</v>
      </c>
    </row>
    <row r="52" spans="1:6" x14ac:dyDescent="0.25">
      <c r="A52" s="67" t="s">
        <v>369</v>
      </c>
      <c r="B52" s="65"/>
      <c r="C52" s="65"/>
      <c r="D52" s="65"/>
      <c r="E52" s="65"/>
      <c r="F52" s="66">
        <f t="shared" si="1"/>
        <v>0</v>
      </c>
    </row>
    <row r="53" spans="1:6" x14ac:dyDescent="0.25">
      <c r="A53" s="67" t="s">
        <v>370</v>
      </c>
      <c r="B53" s="65"/>
      <c r="C53" s="65"/>
      <c r="D53" s="65"/>
      <c r="E53" s="65"/>
      <c r="F53" s="66">
        <f t="shared" si="1"/>
        <v>0</v>
      </c>
    </row>
    <row r="54" spans="1:6" x14ac:dyDescent="0.25">
      <c r="A54" s="67" t="s">
        <v>371</v>
      </c>
      <c r="B54" s="66">
        <f>11282.63</f>
        <v>11282.63</v>
      </c>
      <c r="C54" s="65"/>
      <c r="D54" s="65"/>
      <c r="E54" s="65"/>
      <c r="F54" s="66">
        <f t="shared" si="1"/>
        <v>11282.63</v>
      </c>
    </row>
    <row r="55" spans="1:6" x14ac:dyDescent="0.25">
      <c r="A55" s="67" t="s">
        <v>372</v>
      </c>
      <c r="B55" s="66">
        <f>2392.7</f>
        <v>2392.6999999999998</v>
      </c>
      <c r="C55" s="65"/>
      <c r="D55" s="65"/>
      <c r="E55" s="65"/>
      <c r="F55" s="66">
        <f t="shared" si="1"/>
        <v>2392.6999999999998</v>
      </c>
    </row>
    <row r="56" spans="1:6" x14ac:dyDescent="0.25">
      <c r="A56" s="67" t="s">
        <v>373</v>
      </c>
      <c r="B56" s="28">
        <f>((B53)+(B54))+(B55)</f>
        <v>13675.329999999998</v>
      </c>
      <c r="C56" s="28">
        <f>((C53)+(C54))+(C55)</f>
        <v>0</v>
      </c>
      <c r="D56" s="28">
        <f>((D53)+(D54))+(D55)</f>
        <v>0</v>
      </c>
      <c r="E56" s="28">
        <f>((E53)+(E54))+(E55)</f>
        <v>0</v>
      </c>
      <c r="F56" s="28">
        <f t="shared" si="1"/>
        <v>13675.329999999998</v>
      </c>
    </row>
    <row r="57" spans="1:6" x14ac:dyDescent="0.25">
      <c r="A57" s="67" t="s">
        <v>374</v>
      </c>
      <c r="B57" s="65"/>
      <c r="C57" s="65"/>
      <c r="D57" s="65"/>
      <c r="E57" s="65"/>
      <c r="F57" s="66">
        <f t="shared" si="1"/>
        <v>0</v>
      </c>
    </row>
    <row r="58" spans="1:6" x14ac:dyDescent="0.25">
      <c r="A58" s="67" t="s">
        <v>375</v>
      </c>
      <c r="B58" s="66">
        <f>658.72</f>
        <v>658.72</v>
      </c>
      <c r="C58" s="65"/>
      <c r="D58" s="65"/>
      <c r="E58" s="65"/>
      <c r="F58" s="66">
        <f t="shared" si="1"/>
        <v>658.72</v>
      </c>
    </row>
    <row r="59" spans="1:6" x14ac:dyDescent="0.25">
      <c r="A59" s="67" t="s">
        <v>376</v>
      </c>
      <c r="B59" s="28">
        <f>(B57)+(B58)</f>
        <v>658.72</v>
      </c>
      <c r="C59" s="28">
        <f>(C57)+(C58)</f>
        <v>0</v>
      </c>
      <c r="D59" s="28">
        <f>(D57)+(D58)</f>
        <v>0</v>
      </c>
      <c r="E59" s="28">
        <f>(E57)+(E58)</f>
        <v>0</v>
      </c>
      <c r="F59" s="28">
        <f t="shared" si="1"/>
        <v>658.72</v>
      </c>
    </row>
    <row r="60" spans="1:6" x14ac:dyDescent="0.25">
      <c r="A60" s="67" t="s">
        <v>381</v>
      </c>
      <c r="B60" s="28">
        <f>((B52)+(B56))+(B59)</f>
        <v>14334.049999999997</v>
      </c>
      <c r="C60" s="28">
        <f>((C52)+(C56))+(C59)</f>
        <v>0</v>
      </c>
      <c r="D60" s="28">
        <f>((D52)+(D56))+(D59)</f>
        <v>0</v>
      </c>
      <c r="E60" s="28">
        <f>((E52)+(E56))+(E59)</f>
        <v>0</v>
      </c>
      <c r="F60" s="28">
        <f t="shared" si="1"/>
        <v>14334.049999999997</v>
      </c>
    </row>
    <row r="61" spans="1:6" x14ac:dyDescent="0.25">
      <c r="A61" s="67" t="s">
        <v>382</v>
      </c>
      <c r="B61" s="65"/>
      <c r="C61" s="65"/>
      <c r="D61" s="65"/>
      <c r="E61" s="65"/>
      <c r="F61" s="66">
        <f t="shared" si="1"/>
        <v>0</v>
      </c>
    </row>
    <row r="62" spans="1:6" x14ac:dyDescent="0.25">
      <c r="A62" s="67" t="s">
        <v>489</v>
      </c>
      <c r="B62" s="66">
        <f>1293.46</f>
        <v>1293.46</v>
      </c>
      <c r="C62" s="65"/>
      <c r="D62" s="65"/>
      <c r="E62" s="65"/>
      <c r="F62" s="66">
        <f t="shared" si="1"/>
        <v>1293.46</v>
      </c>
    </row>
    <row r="63" spans="1:6" x14ac:dyDescent="0.25">
      <c r="A63" s="67" t="s">
        <v>392</v>
      </c>
      <c r="B63" s="66">
        <f>315.78</f>
        <v>315.77999999999997</v>
      </c>
      <c r="C63" s="65"/>
      <c r="D63" s="65"/>
      <c r="E63" s="65"/>
      <c r="F63" s="66">
        <f t="shared" si="1"/>
        <v>315.77999999999997</v>
      </c>
    </row>
    <row r="64" spans="1:6" x14ac:dyDescent="0.25">
      <c r="A64" s="67" t="s">
        <v>393</v>
      </c>
      <c r="B64" s="66">
        <f>-89.87</f>
        <v>-89.87</v>
      </c>
      <c r="C64" s="65"/>
      <c r="D64" s="65"/>
      <c r="E64" s="65"/>
      <c r="F64" s="66">
        <f t="shared" si="1"/>
        <v>-89.87</v>
      </c>
    </row>
    <row r="65" spans="1:6" x14ac:dyDescent="0.25">
      <c r="A65" s="67" t="s">
        <v>394</v>
      </c>
      <c r="B65" s="28">
        <f>(((B61)+(B62))+(B63))+(B64)</f>
        <v>1519.37</v>
      </c>
      <c r="C65" s="28">
        <f>(((C61)+(C62))+(C63))+(C64)</f>
        <v>0</v>
      </c>
      <c r="D65" s="28">
        <f>(((D61)+(D62))+(D63))+(D64)</f>
        <v>0</v>
      </c>
      <c r="E65" s="28">
        <f>(((E61)+(E62))+(E63))+(E64)</f>
        <v>0</v>
      </c>
      <c r="F65" s="28">
        <f t="shared" si="1"/>
        <v>1519.37</v>
      </c>
    </row>
    <row r="66" spans="1:6" x14ac:dyDescent="0.25">
      <c r="A66" s="67" t="s">
        <v>395</v>
      </c>
      <c r="B66" s="65"/>
      <c r="C66" s="65"/>
      <c r="D66" s="65"/>
      <c r="E66" s="65"/>
      <c r="F66" s="66">
        <f t="shared" si="1"/>
        <v>0</v>
      </c>
    </row>
    <row r="67" spans="1:6" x14ac:dyDescent="0.25">
      <c r="A67" s="67" t="s">
        <v>490</v>
      </c>
      <c r="B67" s="66">
        <f>824.08</f>
        <v>824.08</v>
      </c>
      <c r="C67" s="65"/>
      <c r="D67" s="65"/>
      <c r="E67" s="65"/>
      <c r="F67" s="66">
        <f t="shared" si="1"/>
        <v>824.08</v>
      </c>
    </row>
    <row r="68" spans="1:6" x14ac:dyDescent="0.25">
      <c r="A68" s="67" t="s">
        <v>491</v>
      </c>
      <c r="B68" s="66">
        <f>295.74</f>
        <v>295.74</v>
      </c>
      <c r="C68" s="65"/>
      <c r="D68" s="65"/>
      <c r="E68" s="65"/>
      <c r="F68" s="66">
        <f t="shared" si="1"/>
        <v>295.74</v>
      </c>
    </row>
    <row r="69" spans="1:6" x14ac:dyDescent="0.25">
      <c r="A69" s="67" t="s">
        <v>398</v>
      </c>
      <c r="B69" s="66">
        <f>624.4</f>
        <v>624.4</v>
      </c>
      <c r="C69" s="65"/>
      <c r="D69" s="65"/>
      <c r="E69" s="65"/>
      <c r="F69" s="66">
        <f t="shared" si="1"/>
        <v>624.4</v>
      </c>
    </row>
    <row r="70" spans="1:6" x14ac:dyDescent="0.25">
      <c r="A70" s="67" t="s">
        <v>401</v>
      </c>
      <c r="B70" s="66">
        <f>150.48</f>
        <v>150.47999999999999</v>
      </c>
      <c r="C70" s="65"/>
      <c r="D70" s="65"/>
      <c r="E70" s="65"/>
      <c r="F70" s="66">
        <f t="shared" si="1"/>
        <v>150.47999999999999</v>
      </c>
    </row>
    <row r="71" spans="1:6" x14ac:dyDescent="0.25">
      <c r="A71" s="67" t="s">
        <v>402</v>
      </c>
      <c r="B71" s="65"/>
      <c r="C71" s="65"/>
      <c r="D71" s="65"/>
      <c r="E71" s="65"/>
      <c r="F71" s="66">
        <f t="shared" si="1"/>
        <v>0</v>
      </c>
    </row>
    <row r="72" spans="1:6" x14ac:dyDescent="0.25">
      <c r="A72" s="67" t="s">
        <v>403</v>
      </c>
      <c r="B72" s="66">
        <f>156.33</f>
        <v>156.33000000000001</v>
      </c>
      <c r="C72" s="65"/>
      <c r="D72" s="65"/>
      <c r="E72" s="65"/>
      <c r="F72" s="66">
        <f t="shared" si="1"/>
        <v>156.33000000000001</v>
      </c>
    </row>
    <row r="73" spans="1:6" x14ac:dyDescent="0.25">
      <c r="A73" s="67" t="s">
        <v>406</v>
      </c>
      <c r="B73" s="28">
        <f>(B71)+(B72)</f>
        <v>156.33000000000001</v>
      </c>
      <c r="C73" s="28">
        <f>(C71)+(C72)</f>
        <v>0</v>
      </c>
      <c r="D73" s="28">
        <f>(D71)+(D72)</f>
        <v>0</v>
      </c>
      <c r="E73" s="28">
        <f>(E71)+(E72)</f>
        <v>0</v>
      </c>
      <c r="F73" s="28">
        <f t="shared" si="1"/>
        <v>156.33000000000001</v>
      </c>
    </row>
    <row r="74" spans="1:6" x14ac:dyDescent="0.25">
      <c r="A74" s="67" t="s">
        <v>408</v>
      </c>
      <c r="B74" s="65"/>
      <c r="C74" s="65"/>
      <c r="D74" s="65"/>
      <c r="E74" s="65"/>
      <c r="F74" s="66">
        <f t="shared" si="1"/>
        <v>0</v>
      </c>
    </row>
    <row r="75" spans="1:6" x14ac:dyDescent="0.25">
      <c r="A75" s="67" t="s">
        <v>409</v>
      </c>
      <c r="B75" s="66">
        <f>41.82</f>
        <v>41.82</v>
      </c>
      <c r="C75" s="65"/>
      <c r="D75" s="65"/>
      <c r="E75" s="65"/>
      <c r="F75" s="66">
        <f t="shared" si="1"/>
        <v>41.82</v>
      </c>
    </row>
    <row r="76" spans="1:6" x14ac:dyDescent="0.25">
      <c r="A76" s="67" t="s">
        <v>411</v>
      </c>
      <c r="B76" s="28">
        <f>(B74)+(B75)</f>
        <v>41.82</v>
      </c>
      <c r="C76" s="28">
        <f>(C74)+(C75)</f>
        <v>0</v>
      </c>
      <c r="D76" s="28">
        <f>(D74)+(D75)</f>
        <v>0</v>
      </c>
      <c r="E76" s="28">
        <f>(E74)+(E75)</f>
        <v>0</v>
      </c>
      <c r="F76" s="28">
        <f t="shared" si="1"/>
        <v>41.82</v>
      </c>
    </row>
    <row r="77" spans="1:6" x14ac:dyDescent="0.25">
      <c r="A77" s="67" t="s">
        <v>418</v>
      </c>
      <c r="B77" s="66">
        <f>173.84</f>
        <v>173.84</v>
      </c>
      <c r="C77" s="65"/>
      <c r="D77" s="65"/>
      <c r="E77" s="65"/>
      <c r="F77" s="66">
        <f t="shared" si="1"/>
        <v>173.84</v>
      </c>
    </row>
    <row r="78" spans="1:6" x14ac:dyDescent="0.25">
      <c r="A78" s="67" t="s">
        <v>419</v>
      </c>
      <c r="B78" s="66">
        <f>66.23</f>
        <v>66.23</v>
      </c>
      <c r="C78" s="65"/>
      <c r="D78" s="65"/>
      <c r="E78" s="65"/>
      <c r="F78" s="66">
        <f t="shared" si="1"/>
        <v>66.23</v>
      </c>
    </row>
    <row r="79" spans="1:6" x14ac:dyDescent="0.25">
      <c r="A79" s="67" t="s">
        <v>437</v>
      </c>
      <c r="B79" s="66">
        <f>320</f>
        <v>320</v>
      </c>
      <c r="C79" s="65"/>
      <c r="D79" s="65"/>
      <c r="E79" s="65"/>
      <c r="F79" s="66">
        <f t="shared" si="1"/>
        <v>320</v>
      </c>
    </row>
    <row r="80" spans="1:6" x14ac:dyDescent="0.25">
      <c r="A80" s="67" t="s">
        <v>439</v>
      </c>
      <c r="B80" s="28">
        <f>(((((((((B66)+(B67))+(B68))+(B69))+(B70))+(B73))+(B76))+(B77))+(B78))+(B79)</f>
        <v>2652.9200000000005</v>
      </c>
      <c r="C80" s="28">
        <f>(((((((((C66)+(C67))+(C68))+(C69))+(C70))+(C73))+(C76))+(C77))+(C78))+(C79)</f>
        <v>0</v>
      </c>
      <c r="D80" s="28">
        <f>(((((((((D66)+(D67))+(D68))+(D69))+(D70))+(D73))+(D76))+(D77))+(D78))+(D79)</f>
        <v>0</v>
      </c>
      <c r="E80" s="28">
        <f>(((((((((E66)+(E67))+(E68))+(E69))+(E70))+(E73))+(E76))+(E77))+(E78))+(E79)</f>
        <v>0</v>
      </c>
      <c r="F80" s="28">
        <f t="shared" si="1"/>
        <v>2652.9200000000005</v>
      </c>
    </row>
    <row r="81" spans="1:6" x14ac:dyDescent="0.25">
      <c r="A81" s="67" t="s">
        <v>440</v>
      </c>
      <c r="B81" s="65"/>
      <c r="C81" s="65"/>
      <c r="D81" s="65"/>
      <c r="E81" s="65"/>
      <c r="F81" s="66">
        <f t="shared" si="1"/>
        <v>0</v>
      </c>
    </row>
    <row r="82" spans="1:6" x14ac:dyDescent="0.25">
      <c r="A82" s="67" t="s">
        <v>445</v>
      </c>
      <c r="B82" s="65"/>
      <c r="C82" s="65"/>
      <c r="D82" s="65"/>
      <c r="E82" s="65"/>
      <c r="F82" s="66">
        <f t="shared" si="1"/>
        <v>0</v>
      </c>
    </row>
    <row r="83" spans="1:6" x14ac:dyDescent="0.25">
      <c r="A83" s="67" t="s">
        <v>446</v>
      </c>
      <c r="B83" s="66">
        <f>107.98</f>
        <v>107.98</v>
      </c>
      <c r="C83" s="65"/>
      <c r="D83" s="65"/>
      <c r="E83" s="65"/>
      <c r="F83" s="66">
        <f t="shared" si="1"/>
        <v>107.98</v>
      </c>
    </row>
    <row r="84" spans="1:6" x14ac:dyDescent="0.25">
      <c r="A84" s="67" t="s">
        <v>447</v>
      </c>
      <c r="B84" s="66">
        <f>70.34</f>
        <v>70.34</v>
      </c>
      <c r="C84" s="65"/>
      <c r="D84" s="65"/>
      <c r="E84" s="65"/>
      <c r="F84" s="66">
        <f t="shared" si="1"/>
        <v>70.34</v>
      </c>
    </row>
    <row r="85" spans="1:6" x14ac:dyDescent="0.25">
      <c r="A85" s="67" t="s">
        <v>449</v>
      </c>
      <c r="B85" s="28">
        <f>((B82)+(B83))+(B84)</f>
        <v>178.32</v>
      </c>
      <c r="C85" s="28">
        <f>((C82)+(C83))+(C84)</f>
        <v>0</v>
      </c>
      <c r="D85" s="28">
        <f>((D82)+(D83))+(D84)</f>
        <v>0</v>
      </c>
      <c r="E85" s="28">
        <f>((E82)+(E83))+(E84)</f>
        <v>0</v>
      </c>
      <c r="F85" s="28">
        <f t="shared" si="1"/>
        <v>178.32</v>
      </c>
    </row>
    <row r="86" spans="1:6" x14ac:dyDescent="0.25">
      <c r="A86" s="67" t="s">
        <v>450</v>
      </c>
      <c r="B86" s="65"/>
      <c r="C86" s="65"/>
      <c r="D86" s="65"/>
      <c r="E86" s="65"/>
      <c r="F86" s="66">
        <f t="shared" si="1"/>
        <v>0</v>
      </c>
    </row>
    <row r="87" spans="1:6" x14ac:dyDescent="0.25">
      <c r="A87" s="67" t="s">
        <v>453</v>
      </c>
      <c r="B87" s="66">
        <f>103.95</f>
        <v>103.95</v>
      </c>
      <c r="C87" s="65"/>
      <c r="D87" s="65"/>
      <c r="E87" s="65"/>
      <c r="F87" s="66">
        <f t="shared" si="1"/>
        <v>103.95</v>
      </c>
    </row>
    <row r="88" spans="1:6" x14ac:dyDescent="0.25">
      <c r="A88" s="67" t="s">
        <v>458</v>
      </c>
      <c r="B88" s="28">
        <f>(B86)+(B87)</f>
        <v>103.95</v>
      </c>
      <c r="C88" s="28">
        <f>(C86)+(C87)</f>
        <v>0</v>
      </c>
      <c r="D88" s="28">
        <f>(D86)+(D87)</f>
        <v>0</v>
      </c>
      <c r="E88" s="28">
        <f>(E86)+(E87)</f>
        <v>0</v>
      </c>
      <c r="F88" s="28">
        <f t="shared" si="1"/>
        <v>103.95</v>
      </c>
    </row>
    <row r="89" spans="1:6" x14ac:dyDescent="0.25">
      <c r="A89" s="67" t="s">
        <v>471</v>
      </c>
      <c r="B89" s="28">
        <f>((B81)+(B85))+(B88)</f>
        <v>282.27</v>
      </c>
      <c r="C89" s="28">
        <f>((C81)+(C85))+(C88)</f>
        <v>0</v>
      </c>
      <c r="D89" s="28">
        <f>((D81)+(D85))+(D88)</f>
        <v>0</v>
      </c>
      <c r="E89" s="28">
        <f>((E81)+(E85))+(E88)</f>
        <v>0</v>
      </c>
      <c r="F89" s="28">
        <f t="shared" si="1"/>
        <v>282.27</v>
      </c>
    </row>
    <row r="90" spans="1:6" x14ac:dyDescent="0.25">
      <c r="A90" s="67" t="s">
        <v>472</v>
      </c>
      <c r="B90" s="28">
        <f>(((((B48)+(B51))+(B60))+(B65))+(B80))+(B89)</f>
        <v>20490.11</v>
      </c>
      <c r="C90" s="28">
        <f>(((((C48)+(C51))+(C60))+(C65))+(C80))+(C89)</f>
        <v>0</v>
      </c>
      <c r="D90" s="28">
        <f>(((((D48)+(D51))+(D60))+(D65))+(D80))+(D89)</f>
        <v>0</v>
      </c>
      <c r="E90" s="28">
        <f>(((((E48)+(E51))+(E60))+(E65))+(E80))+(E89)</f>
        <v>0</v>
      </c>
      <c r="F90" s="28">
        <f t="shared" si="1"/>
        <v>20490.11</v>
      </c>
    </row>
    <row r="91" spans="1:6" x14ac:dyDescent="0.25">
      <c r="A91" s="67" t="s">
        <v>224</v>
      </c>
      <c r="B91" s="65"/>
      <c r="C91" s="65"/>
      <c r="D91" s="65"/>
      <c r="E91" s="65"/>
      <c r="F91" s="66">
        <f t="shared" si="1"/>
        <v>0</v>
      </c>
    </row>
    <row r="92" spans="1:6" x14ac:dyDescent="0.25">
      <c r="A92" s="67" t="s">
        <v>225</v>
      </c>
      <c r="B92" s="65"/>
      <c r="C92" s="65"/>
      <c r="D92" s="65"/>
      <c r="E92" s="65"/>
      <c r="F92" s="66">
        <f t="shared" si="1"/>
        <v>0</v>
      </c>
    </row>
    <row r="93" spans="1:6" x14ac:dyDescent="0.25">
      <c r="A93" s="67" t="s">
        <v>226</v>
      </c>
      <c r="B93" s="65"/>
      <c r="C93" s="65"/>
      <c r="D93" s="65"/>
      <c r="E93" s="65"/>
      <c r="F93" s="66">
        <f t="shared" si="1"/>
        <v>0</v>
      </c>
    </row>
    <row r="94" spans="1:6" x14ac:dyDescent="0.25">
      <c r="A94" s="67" t="s">
        <v>227</v>
      </c>
      <c r="B94" s="65"/>
      <c r="C94" s="65"/>
      <c r="D94" s="65"/>
      <c r="E94" s="65"/>
      <c r="F94" s="66">
        <f t="shared" si="1"/>
        <v>0</v>
      </c>
    </row>
    <row r="95" spans="1:6" x14ac:dyDescent="0.25">
      <c r="A95" s="67" t="s">
        <v>228</v>
      </c>
      <c r="B95" s="65"/>
      <c r="C95" s="65"/>
      <c r="D95" s="65"/>
      <c r="E95" s="66">
        <f>8535.08</f>
        <v>8535.08</v>
      </c>
      <c r="F95" s="66">
        <f t="shared" si="1"/>
        <v>8535.08</v>
      </c>
    </row>
    <row r="96" spans="1:6" x14ac:dyDescent="0.25">
      <c r="A96" s="67" t="s">
        <v>492</v>
      </c>
      <c r="B96" s="65"/>
      <c r="C96" s="65"/>
      <c r="D96" s="65"/>
      <c r="E96" s="66">
        <f>5247.12</f>
        <v>5247.12</v>
      </c>
      <c r="F96" s="66">
        <f t="shared" si="1"/>
        <v>5247.12</v>
      </c>
    </row>
    <row r="97" spans="1:6" x14ac:dyDescent="0.25">
      <c r="A97" s="67" t="s">
        <v>493</v>
      </c>
      <c r="B97" s="65"/>
      <c r="C97" s="65"/>
      <c r="D97" s="65"/>
      <c r="E97" s="66">
        <f>328.13</f>
        <v>328.13</v>
      </c>
      <c r="F97" s="66">
        <f t="shared" si="1"/>
        <v>328.13</v>
      </c>
    </row>
    <row r="98" spans="1:6" x14ac:dyDescent="0.25">
      <c r="A98" s="67" t="s">
        <v>237</v>
      </c>
      <c r="B98" s="28">
        <f>(((B94)+(B95))+(B96))+(B97)</f>
        <v>0</v>
      </c>
      <c r="C98" s="28">
        <f>(((C94)+(C95))+(C96))+(C97)</f>
        <v>0</v>
      </c>
      <c r="D98" s="28">
        <f>(((D94)+(D95))+(D96))+(D97)</f>
        <v>0</v>
      </c>
      <c r="E98" s="28">
        <f>(((E94)+(E95))+(E96))+(E97)</f>
        <v>14110.33</v>
      </c>
      <c r="F98" s="28">
        <f t="shared" si="1"/>
        <v>14110.33</v>
      </c>
    </row>
    <row r="99" spans="1:6" x14ac:dyDescent="0.25">
      <c r="A99" s="67" t="s">
        <v>238</v>
      </c>
      <c r="B99" s="28">
        <f>(B93)+(B98)</f>
        <v>0</v>
      </c>
      <c r="C99" s="28">
        <f>(C93)+(C98)</f>
        <v>0</v>
      </c>
      <c r="D99" s="28">
        <f>(D93)+(D98)</f>
        <v>0</v>
      </c>
      <c r="E99" s="28">
        <f>(E93)+(E98)</f>
        <v>14110.33</v>
      </c>
      <c r="F99" s="28">
        <f t="shared" si="1"/>
        <v>14110.33</v>
      </c>
    </row>
    <row r="100" spans="1:6" x14ac:dyDescent="0.25">
      <c r="A100" s="67" t="s">
        <v>239</v>
      </c>
      <c r="B100" s="65"/>
      <c r="C100" s="65"/>
      <c r="D100" s="65"/>
      <c r="E100" s="65"/>
      <c r="F100" s="66">
        <f t="shared" si="1"/>
        <v>0</v>
      </c>
    </row>
    <row r="101" spans="1:6" x14ac:dyDescent="0.25">
      <c r="A101" s="67" t="s">
        <v>240</v>
      </c>
      <c r="B101" s="65"/>
      <c r="C101" s="65"/>
      <c r="D101" s="65"/>
      <c r="E101" s="66">
        <f>2288.6</f>
        <v>2288.6</v>
      </c>
      <c r="F101" s="66">
        <f t="shared" si="1"/>
        <v>2288.6</v>
      </c>
    </row>
    <row r="102" spans="1:6" x14ac:dyDescent="0.25">
      <c r="A102" s="67" t="s">
        <v>494</v>
      </c>
      <c r="B102" s="65"/>
      <c r="C102" s="65"/>
      <c r="D102" s="65"/>
      <c r="E102" s="66">
        <f>182.68</f>
        <v>182.68</v>
      </c>
      <c r="F102" s="66">
        <f t="shared" si="1"/>
        <v>182.68</v>
      </c>
    </row>
    <row r="103" spans="1:6" x14ac:dyDescent="0.25">
      <c r="A103" s="67" t="s">
        <v>244</v>
      </c>
      <c r="B103" s="28">
        <f>((B100)+(B101))+(B102)</f>
        <v>0</v>
      </c>
      <c r="C103" s="28">
        <f>((C100)+(C101))+(C102)</f>
        <v>0</v>
      </c>
      <c r="D103" s="28">
        <f>((D100)+(D101))+(D102)</f>
        <v>0</v>
      </c>
      <c r="E103" s="28">
        <f>((E100)+(E101))+(E102)</f>
        <v>2471.2799999999997</v>
      </c>
      <c r="F103" s="28">
        <f t="shared" si="1"/>
        <v>2471.2799999999997</v>
      </c>
    </row>
    <row r="104" spans="1:6" x14ac:dyDescent="0.25">
      <c r="A104" s="67" t="s">
        <v>245</v>
      </c>
      <c r="B104" s="65"/>
      <c r="C104" s="65"/>
      <c r="D104" s="65"/>
      <c r="E104" s="65"/>
      <c r="F104" s="66">
        <f t="shared" si="1"/>
        <v>0</v>
      </c>
    </row>
    <row r="105" spans="1:6" x14ac:dyDescent="0.25">
      <c r="A105" s="67" t="s">
        <v>495</v>
      </c>
      <c r="B105" s="65"/>
      <c r="C105" s="65"/>
      <c r="D105" s="65"/>
      <c r="E105" s="66">
        <f>2851.8</f>
        <v>2851.8</v>
      </c>
      <c r="F105" s="66">
        <f t="shared" si="1"/>
        <v>2851.8</v>
      </c>
    </row>
    <row r="106" spans="1:6" x14ac:dyDescent="0.25">
      <c r="A106" s="67" t="s">
        <v>496</v>
      </c>
      <c r="B106" s="65"/>
      <c r="C106" s="65"/>
      <c r="D106" s="65"/>
      <c r="E106" s="66">
        <f>635.78</f>
        <v>635.78</v>
      </c>
      <c r="F106" s="66">
        <f t="shared" si="1"/>
        <v>635.78</v>
      </c>
    </row>
    <row r="107" spans="1:6" x14ac:dyDescent="0.25">
      <c r="A107" s="67" t="s">
        <v>497</v>
      </c>
      <c r="B107" s="65"/>
      <c r="C107" s="65"/>
      <c r="D107" s="65"/>
      <c r="E107" s="66">
        <f>583.75</f>
        <v>583.75</v>
      </c>
      <c r="F107" s="66">
        <f t="shared" si="1"/>
        <v>583.75</v>
      </c>
    </row>
    <row r="108" spans="1:6" x14ac:dyDescent="0.25">
      <c r="A108" s="67" t="s">
        <v>498</v>
      </c>
      <c r="B108" s="28">
        <f>(((B104)+(B105))+(B106))+(B107)</f>
        <v>0</v>
      </c>
      <c r="C108" s="28">
        <f>(((C104)+(C105))+(C106))+(C107)</f>
        <v>0</v>
      </c>
      <c r="D108" s="28">
        <f>(((D104)+(D105))+(D106))+(D107)</f>
        <v>0</v>
      </c>
      <c r="E108" s="28">
        <f>(((E104)+(E105))+(E106))+(E107)</f>
        <v>4071.33</v>
      </c>
      <c r="F108" s="28">
        <f t="shared" si="1"/>
        <v>4071.33</v>
      </c>
    </row>
    <row r="109" spans="1:6" x14ac:dyDescent="0.25">
      <c r="A109" s="67" t="s">
        <v>253</v>
      </c>
      <c r="B109" s="65"/>
      <c r="C109" s="65"/>
      <c r="D109" s="65"/>
      <c r="E109" s="65"/>
      <c r="F109" s="66">
        <f t="shared" si="1"/>
        <v>0</v>
      </c>
    </row>
    <row r="110" spans="1:6" x14ac:dyDescent="0.25">
      <c r="A110" s="67" t="s">
        <v>499</v>
      </c>
      <c r="B110" s="65"/>
      <c r="C110" s="65"/>
      <c r="D110" s="65"/>
      <c r="E110" s="66">
        <f>1125.1</f>
        <v>1125.0999999999999</v>
      </c>
      <c r="F110" s="66">
        <f t="shared" si="1"/>
        <v>1125.0999999999999</v>
      </c>
    </row>
    <row r="111" spans="1:6" x14ac:dyDescent="0.25">
      <c r="A111" s="67" t="s">
        <v>258</v>
      </c>
      <c r="B111" s="28">
        <f>(B109)+(B110)</f>
        <v>0</v>
      </c>
      <c r="C111" s="28">
        <f>(C109)+(C110)</f>
        <v>0</v>
      </c>
      <c r="D111" s="28">
        <f>(D109)+(D110)</f>
        <v>0</v>
      </c>
      <c r="E111" s="28">
        <f>(E109)+(E110)</f>
        <v>1125.0999999999999</v>
      </c>
      <c r="F111" s="28">
        <f t="shared" si="1"/>
        <v>1125.0999999999999</v>
      </c>
    </row>
    <row r="112" spans="1:6" x14ac:dyDescent="0.25">
      <c r="A112" s="67" t="s">
        <v>259</v>
      </c>
      <c r="B112" s="28">
        <f>((((B92)+(B99))+(B103))+(B108))+(B111)</f>
        <v>0</v>
      </c>
      <c r="C112" s="28">
        <f>((((C92)+(C99))+(C103))+(C108))+(C111)</f>
        <v>0</v>
      </c>
      <c r="D112" s="28">
        <f>((((D92)+(D99))+(D103))+(D108))+(D111)</f>
        <v>0</v>
      </c>
      <c r="E112" s="28">
        <f>((((E92)+(E99))+(E103))+(E108))+(E111)</f>
        <v>21778.04</v>
      </c>
      <c r="F112" s="28">
        <f t="shared" ref="F112:F136" si="2">(((B112)+(C112))+(D112))+(E112)</f>
        <v>21778.04</v>
      </c>
    </row>
    <row r="113" spans="1:6" x14ac:dyDescent="0.25">
      <c r="A113" s="67" t="s">
        <v>260</v>
      </c>
      <c r="B113" s="65"/>
      <c r="C113" s="65"/>
      <c r="D113" s="65"/>
      <c r="E113" s="65"/>
      <c r="F113" s="66">
        <f t="shared" si="2"/>
        <v>0</v>
      </c>
    </row>
    <row r="114" spans="1:6" x14ac:dyDescent="0.25">
      <c r="A114" s="67" t="s">
        <v>266</v>
      </c>
      <c r="B114" s="65"/>
      <c r="C114" s="65"/>
      <c r="D114" s="66">
        <f>15000</f>
        <v>15000</v>
      </c>
      <c r="E114" s="65"/>
      <c r="F114" s="66">
        <f t="shared" si="2"/>
        <v>15000</v>
      </c>
    </row>
    <row r="115" spans="1:6" x14ac:dyDescent="0.25">
      <c r="A115" s="67" t="s">
        <v>274</v>
      </c>
      <c r="B115" s="28">
        <f>(B113)+(B114)</f>
        <v>0</v>
      </c>
      <c r="C115" s="28">
        <f>(C113)+(C114)</f>
        <v>0</v>
      </c>
      <c r="D115" s="28">
        <f>(D113)+(D114)</f>
        <v>15000</v>
      </c>
      <c r="E115" s="28">
        <f>(E113)+(E114)</f>
        <v>0</v>
      </c>
      <c r="F115" s="28">
        <f t="shared" si="2"/>
        <v>15000</v>
      </c>
    </row>
    <row r="116" spans="1:6" x14ac:dyDescent="0.25">
      <c r="A116" s="67" t="s">
        <v>275</v>
      </c>
      <c r="B116" s="65"/>
      <c r="C116" s="65"/>
      <c r="D116" s="65"/>
      <c r="E116" s="65"/>
      <c r="F116" s="66">
        <f t="shared" si="2"/>
        <v>0</v>
      </c>
    </row>
    <row r="117" spans="1:6" x14ac:dyDescent="0.25">
      <c r="A117" s="67" t="s">
        <v>276</v>
      </c>
      <c r="B117" s="65"/>
      <c r="C117" s="65"/>
      <c r="D117" s="65"/>
      <c r="E117" s="65"/>
      <c r="F117" s="66">
        <f t="shared" si="2"/>
        <v>0</v>
      </c>
    </row>
    <row r="118" spans="1:6" x14ac:dyDescent="0.25">
      <c r="A118" s="67" t="s">
        <v>279</v>
      </c>
      <c r="B118" s="65"/>
      <c r="C118" s="65"/>
      <c r="D118" s="65"/>
      <c r="E118" s="66">
        <f>141.1</f>
        <v>141.1</v>
      </c>
      <c r="F118" s="66">
        <f t="shared" si="2"/>
        <v>141.1</v>
      </c>
    </row>
    <row r="119" spans="1:6" x14ac:dyDescent="0.25">
      <c r="A119" s="67" t="s">
        <v>281</v>
      </c>
      <c r="B119" s="65"/>
      <c r="C119" s="65"/>
      <c r="D119" s="65"/>
      <c r="E119" s="66">
        <f>100</f>
        <v>100</v>
      </c>
      <c r="F119" s="66">
        <f t="shared" si="2"/>
        <v>100</v>
      </c>
    </row>
    <row r="120" spans="1:6" x14ac:dyDescent="0.25">
      <c r="A120" s="67" t="s">
        <v>284</v>
      </c>
      <c r="B120" s="65"/>
      <c r="C120" s="65"/>
      <c r="D120" s="65"/>
      <c r="E120" s="66">
        <f>893.07</f>
        <v>893.07</v>
      </c>
      <c r="F120" s="66">
        <f t="shared" si="2"/>
        <v>893.07</v>
      </c>
    </row>
    <row r="121" spans="1:6" x14ac:dyDescent="0.25">
      <c r="A121" s="67" t="s">
        <v>287</v>
      </c>
      <c r="B121" s="65"/>
      <c r="C121" s="65"/>
      <c r="D121" s="65"/>
      <c r="E121" s="66">
        <f>6.47</f>
        <v>6.47</v>
      </c>
      <c r="F121" s="66">
        <f t="shared" si="2"/>
        <v>6.47</v>
      </c>
    </row>
    <row r="122" spans="1:6" x14ac:dyDescent="0.25">
      <c r="A122" s="67" t="s">
        <v>500</v>
      </c>
      <c r="B122" s="65"/>
      <c r="C122" s="65"/>
      <c r="D122" s="65"/>
      <c r="E122" s="66">
        <f>234</f>
        <v>234</v>
      </c>
      <c r="F122" s="66">
        <f t="shared" si="2"/>
        <v>234</v>
      </c>
    </row>
    <row r="123" spans="1:6" x14ac:dyDescent="0.25">
      <c r="A123" s="67" t="s">
        <v>290</v>
      </c>
      <c r="B123" s="65"/>
      <c r="C123" s="65"/>
      <c r="D123" s="65"/>
      <c r="E123" s="66">
        <f>350</f>
        <v>350</v>
      </c>
      <c r="F123" s="66">
        <f t="shared" si="2"/>
        <v>350</v>
      </c>
    </row>
    <row r="124" spans="1:6" x14ac:dyDescent="0.25">
      <c r="A124" s="67" t="s">
        <v>293</v>
      </c>
      <c r="B124" s="28">
        <f>((((((B117)+(B118))+(B119))+(B120))+(B121))+(B122))+(B123)</f>
        <v>0</v>
      </c>
      <c r="C124" s="28">
        <f>((((((C117)+(C118))+(C119))+(C120))+(C121))+(C122))+(C123)</f>
        <v>0</v>
      </c>
      <c r="D124" s="28">
        <f>((((((D117)+(D118))+(D119))+(D120))+(D121))+(D122))+(D123)</f>
        <v>0</v>
      </c>
      <c r="E124" s="28">
        <f>((((((E117)+(E118))+(E119))+(E120))+(E121))+(E122))+(E123)</f>
        <v>1724.64</v>
      </c>
      <c r="F124" s="28">
        <f t="shared" si="2"/>
        <v>1724.64</v>
      </c>
    </row>
    <row r="125" spans="1:6" x14ac:dyDescent="0.25">
      <c r="A125" s="67" t="s">
        <v>294</v>
      </c>
      <c r="B125" s="65"/>
      <c r="C125" s="65"/>
      <c r="D125" s="65"/>
      <c r="E125" s="65"/>
      <c r="F125" s="66">
        <f t="shared" si="2"/>
        <v>0</v>
      </c>
    </row>
    <row r="126" spans="1:6" x14ac:dyDescent="0.25">
      <c r="A126" s="67" t="s">
        <v>296</v>
      </c>
      <c r="B126" s="65"/>
      <c r="C126" s="65"/>
      <c r="D126" s="65"/>
      <c r="E126" s="66">
        <f>14418.98</f>
        <v>14418.98</v>
      </c>
      <c r="F126" s="66">
        <f t="shared" si="2"/>
        <v>14418.98</v>
      </c>
    </row>
    <row r="127" spans="1:6" x14ac:dyDescent="0.25">
      <c r="A127" s="67" t="s">
        <v>298</v>
      </c>
      <c r="B127" s="65"/>
      <c r="C127" s="65"/>
      <c r="D127" s="65"/>
      <c r="E127" s="66">
        <f>3800</f>
        <v>3800</v>
      </c>
      <c r="F127" s="66">
        <f t="shared" si="2"/>
        <v>3800</v>
      </c>
    </row>
    <row r="128" spans="1:6" x14ac:dyDescent="0.25">
      <c r="A128" s="67" t="s">
        <v>303</v>
      </c>
      <c r="B128" s="65"/>
      <c r="C128" s="65"/>
      <c r="D128" s="65"/>
      <c r="E128" s="65"/>
      <c r="F128" s="66">
        <f t="shared" si="2"/>
        <v>0</v>
      </c>
    </row>
    <row r="129" spans="1:6" x14ac:dyDescent="0.25">
      <c r="A129" s="67" t="s">
        <v>304</v>
      </c>
      <c r="B129" s="65"/>
      <c r="C129" s="65"/>
      <c r="D129" s="65"/>
      <c r="E129" s="66">
        <f>321.02</f>
        <v>321.02</v>
      </c>
      <c r="F129" s="66">
        <f t="shared" si="2"/>
        <v>321.02</v>
      </c>
    </row>
    <row r="130" spans="1:6" x14ac:dyDescent="0.25">
      <c r="A130" s="67" t="s">
        <v>306</v>
      </c>
      <c r="B130" s="65"/>
      <c r="C130" s="65"/>
      <c r="D130" s="65"/>
      <c r="E130" s="66">
        <f>290</f>
        <v>290</v>
      </c>
      <c r="F130" s="66">
        <f t="shared" si="2"/>
        <v>290</v>
      </c>
    </row>
    <row r="131" spans="1:6" x14ac:dyDescent="0.25">
      <c r="A131" s="67" t="s">
        <v>307</v>
      </c>
      <c r="B131" s="28">
        <f>((B128)+(B129))+(B130)</f>
        <v>0</v>
      </c>
      <c r="C131" s="28">
        <f>((C128)+(C129))+(C130)</f>
        <v>0</v>
      </c>
      <c r="D131" s="28">
        <f>((D128)+(D129))+(D130)</f>
        <v>0</v>
      </c>
      <c r="E131" s="28">
        <f>((E128)+(E129))+(E130)</f>
        <v>611.02</v>
      </c>
      <c r="F131" s="28">
        <f t="shared" si="2"/>
        <v>611.02</v>
      </c>
    </row>
    <row r="132" spans="1:6" x14ac:dyDescent="0.25">
      <c r="A132" s="67" t="s">
        <v>311</v>
      </c>
      <c r="B132" s="28">
        <f>(((B125)+(B126))+(B127))+(B131)</f>
        <v>0</v>
      </c>
      <c r="C132" s="28">
        <f>(((C125)+(C126))+(C127))+(C131)</f>
        <v>0</v>
      </c>
      <c r="D132" s="28">
        <f>(((D125)+(D126))+(D127))+(D131)</f>
        <v>0</v>
      </c>
      <c r="E132" s="28">
        <f>(((E125)+(E126))+(E127))+(E131)</f>
        <v>18830</v>
      </c>
      <c r="F132" s="28">
        <f t="shared" si="2"/>
        <v>18830</v>
      </c>
    </row>
    <row r="133" spans="1:6" x14ac:dyDescent="0.25">
      <c r="A133" s="67" t="s">
        <v>312</v>
      </c>
      <c r="B133" s="28">
        <f>((B116)+(B124))+(B132)</f>
        <v>0</v>
      </c>
      <c r="C133" s="28">
        <f>((C116)+(C124))+(C132)</f>
        <v>0</v>
      </c>
      <c r="D133" s="28">
        <f>((D116)+(D124))+(D132)</f>
        <v>0</v>
      </c>
      <c r="E133" s="28">
        <f>((E116)+(E124))+(E132)</f>
        <v>20554.64</v>
      </c>
      <c r="F133" s="28">
        <f t="shared" si="2"/>
        <v>20554.64</v>
      </c>
    </row>
    <row r="134" spans="1:6" x14ac:dyDescent="0.25">
      <c r="A134" s="67" t="s">
        <v>313</v>
      </c>
      <c r="B134" s="28">
        <f>(((B91)+(B112))+(B115))+(B133)</f>
        <v>0</v>
      </c>
      <c r="C134" s="28">
        <f>(((C91)+(C112))+(C115))+(C133)</f>
        <v>0</v>
      </c>
      <c r="D134" s="28">
        <f>(((D91)+(D112))+(D115))+(D133)</f>
        <v>15000</v>
      </c>
      <c r="E134" s="28">
        <f>(((E91)+(E112))+(E115))+(E133)</f>
        <v>42332.68</v>
      </c>
      <c r="F134" s="28">
        <f t="shared" si="2"/>
        <v>57332.68</v>
      </c>
    </row>
    <row r="135" spans="1:6" x14ac:dyDescent="0.25">
      <c r="A135" s="67" t="s">
        <v>314</v>
      </c>
      <c r="B135" s="28">
        <f>(B90)+(B134)</f>
        <v>20490.11</v>
      </c>
      <c r="C135" s="28">
        <f>(C90)+(C134)</f>
        <v>0</v>
      </c>
      <c r="D135" s="28">
        <f>(D90)+(D134)</f>
        <v>15000</v>
      </c>
      <c r="E135" s="28">
        <f>(E90)+(E134)</f>
        <v>42332.68</v>
      </c>
      <c r="F135" s="28">
        <f t="shared" si="2"/>
        <v>77822.790000000008</v>
      </c>
    </row>
    <row r="136" spans="1:6" x14ac:dyDescent="0.25">
      <c r="A136" s="67" t="s">
        <v>315</v>
      </c>
      <c r="B136" s="28">
        <f>(B46)-(B135)</f>
        <v>33026.06</v>
      </c>
      <c r="C136" s="28">
        <f>(C46)-(C135)</f>
        <v>0</v>
      </c>
      <c r="D136" s="28">
        <f>(D46)-(D135)</f>
        <v>-6313.75</v>
      </c>
      <c r="E136" s="28">
        <f>(E46)-(E135)</f>
        <v>-17503.419999999998</v>
      </c>
      <c r="F136" s="28">
        <f t="shared" si="2"/>
        <v>9208.89</v>
      </c>
    </row>
    <row r="137" spans="1:6" x14ac:dyDescent="0.25">
      <c r="A137" s="67" t="s">
        <v>501</v>
      </c>
      <c r="B137" s="65"/>
      <c r="C137" s="65"/>
      <c r="D137" s="65"/>
      <c r="E137" s="65"/>
      <c r="F137" s="65"/>
    </row>
    <row r="138" spans="1:6" x14ac:dyDescent="0.25">
      <c r="A138" s="67" t="s">
        <v>502</v>
      </c>
      <c r="B138" s="65"/>
      <c r="C138" s="65"/>
      <c r="D138" s="65"/>
      <c r="E138" s="65"/>
      <c r="F138" s="66">
        <f t="shared" ref="F138:F149" si="3">(((B138)+(C138))+(D138))+(E138)</f>
        <v>0</v>
      </c>
    </row>
    <row r="139" spans="1:6" x14ac:dyDescent="0.25">
      <c r="A139" s="67" t="s">
        <v>503</v>
      </c>
      <c r="B139" s="65"/>
      <c r="C139" s="65"/>
      <c r="D139" s="65"/>
      <c r="E139" s="65"/>
      <c r="F139" s="66">
        <f t="shared" si="3"/>
        <v>0</v>
      </c>
    </row>
    <row r="140" spans="1:6" x14ac:dyDescent="0.25">
      <c r="A140" s="67" t="s">
        <v>504</v>
      </c>
      <c r="B140" s="65"/>
      <c r="C140" s="66">
        <f>40.8</f>
        <v>40.799999999999997</v>
      </c>
      <c r="D140" s="65"/>
      <c r="E140" s="65"/>
      <c r="F140" s="66">
        <f t="shared" si="3"/>
        <v>40.799999999999997</v>
      </c>
    </row>
    <row r="141" spans="1:6" x14ac:dyDescent="0.25">
      <c r="A141" s="67" t="s">
        <v>505</v>
      </c>
      <c r="B141" s="28">
        <f>(B139)+(B140)</f>
        <v>0</v>
      </c>
      <c r="C141" s="28">
        <f>(C139)+(C140)</f>
        <v>40.799999999999997</v>
      </c>
      <c r="D141" s="28">
        <f>(D139)+(D140)</f>
        <v>0</v>
      </c>
      <c r="E141" s="28">
        <f>(E139)+(E140)</f>
        <v>0</v>
      </c>
      <c r="F141" s="28">
        <f t="shared" si="3"/>
        <v>40.799999999999997</v>
      </c>
    </row>
    <row r="142" spans="1:6" x14ac:dyDescent="0.25">
      <c r="A142" s="67" t="s">
        <v>506</v>
      </c>
      <c r="B142" s="65"/>
      <c r="C142" s="66">
        <f>2490.64</f>
        <v>2490.64</v>
      </c>
      <c r="D142" s="65"/>
      <c r="E142" s="65"/>
      <c r="F142" s="66">
        <f t="shared" si="3"/>
        <v>2490.64</v>
      </c>
    </row>
    <row r="143" spans="1:6" x14ac:dyDescent="0.25">
      <c r="A143" s="67" t="s">
        <v>507</v>
      </c>
      <c r="B143" s="65"/>
      <c r="C143" s="66">
        <f>35</f>
        <v>35</v>
      </c>
      <c r="D143" s="65"/>
      <c r="E143" s="65"/>
      <c r="F143" s="66">
        <f t="shared" si="3"/>
        <v>35</v>
      </c>
    </row>
    <row r="144" spans="1:6" x14ac:dyDescent="0.25">
      <c r="A144" s="67" t="s">
        <v>508</v>
      </c>
      <c r="B144" s="65"/>
      <c r="C144" s="66">
        <f>119</f>
        <v>119</v>
      </c>
      <c r="D144" s="65"/>
      <c r="E144" s="65"/>
      <c r="F144" s="66">
        <f t="shared" si="3"/>
        <v>119</v>
      </c>
    </row>
    <row r="145" spans="1:6" x14ac:dyDescent="0.25">
      <c r="A145" s="67" t="s">
        <v>509</v>
      </c>
      <c r="B145" s="65"/>
      <c r="C145" s="65"/>
      <c r="D145" s="65"/>
      <c r="E145" s="65"/>
      <c r="F145" s="66">
        <f t="shared" si="3"/>
        <v>0</v>
      </c>
    </row>
    <row r="146" spans="1:6" x14ac:dyDescent="0.25">
      <c r="A146" s="67" t="s">
        <v>510</v>
      </c>
      <c r="B146" s="65"/>
      <c r="C146" s="66">
        <f>50000</f>
        <v>50000</v>
      </c>
      <c r="D146" s="65"/>
      <c r="E146" s="65"/>
      <c r="F146" s="66">
        <f t="shared" si="3"/>
        <v>50000</v>
      </c>
    </row>
    <row r="147" spans="1:6" x14ac:dyDescent="0.25">
      <c r="A147" s="67" t="s">
        <v>511</v>
      </c>
      <c r="B147" s="28">
        <f>(B145)+(B146)</f>
        <v>0</v>
      </c>
      <c r="C147" s="28">
        <f>(C145)+(C146)</f>
        <v>50000</v>
      </c>
      <c r="D147" s="28">
        <f>(D145)+(D146)</f>
        <v>0</v>
      </c>
      <c r="E147" s="28">
        <f>(E145)+(E146)</f>
        <v>0</v>
      </c>
      <c r="F147" s="28">
        <f t="shared" si="3"/>
        <v>50000</v>
      </c>
    </row>
    <row r="148" spans="1:6" x14ac:dyDescent="0.25">
      <c r="A148" s="67" t="s">
        <v>512</v>
      </c>
      <c r="B148" s="28">
        <f>(((((B138)+(B141))+(B142))+(B143))+(B144))+(B147)</f>
        <v>0</v>
      </c>
      <c r="C148" s="28">
        <f>(((((C138)+(C141))+(C142))+(C143))+(C144))+(C147)</f>
        <v>52685.440000000002</v>
      </c>
      <c r="D148" s="28">
        <f>(((((D138)+(D141))+(D142))+(D143))+(D144))+(D147)</f>
        <v>0</v>
      </c>
      <c r="E148" s="28">
        <f>(((((E138)+(E141))+(E142))+(E143))+(E144))+(E147)</f>
        <v>0</v>
      </c>
      <c r="F148" s="28">
        <f t="shared" si="3"/>
        <v>52685.440000000002</v>
      </c>
    </row>
    <row r="149" spans="1:6" x14ac:dyDescent="0.25">
      <c r="A149" s="67" t="s">
        <v>513</v>
      </c>
      <c r="B149" s="28">
        <f>B148</f>
        <v>0</v>
      </c>
      <c r="C149" s="28">
        <f>C148</f>
        <v>52685.440000000002</v>
      </c>
      <c r="D149" s="28">
        <f>D148</f>
        <v>0</v>
      </c>
      <c r="E149" s="28">
        <f>E148</f>
        <v>0</v>
      </c>
      <c r="F149" s="28">
        <f t="shared" si="3"/>
        <v>52685.440000000002</v>
      </c>
    </row>
    <row r="150" spans="1:6" x14ac:dyDescent="0.25">
      <c r="A150" s="67" t="s">
        <v>514</v>
      </c>
      <c r="B150" s="65"/>
      <c r="C150" s="65"/>
      <c r="D150" s="65"/>
      <c r="E150" s="65"/>
      <c r="F150" s="65"/>
    </row>
    <row r="151" spans="1:6" x14ac:dyDescent="0.25">
      <c r="A151" s="67" t="s">
        <v>515</v>
      </c>
      <c r="B151" s="65"/>
      <c r="C151" s="65"/>
      <c r="D151" s="65"/>
      <c r="E151" s="65"/>
      <c r="F151" s="66">
        <f t="shared" ref="F151:F158" si="4">(((B151)+(C151))+(D151))+(E151)</f>
        <v>0</v>
      </c>
    </row>
    <row r="152" spans="1:6" x14ac:dyDescent="0.25">
      <c r="A152" s="67" t="s">
        <v>516</v>
      </c>
      <c r="B152" s="65"/>
      <c r="C152" s="65"/>
      <c r="D152" s="65"/>
      <c r="E152" s="65"/>
      <c r="F152" s="66">
        <f t="shared" si="4"/>
        <v>0</v>
      </c>
    </row>
    <row r="153" spans="1:6" x14ac:dyDescent="0.25">
      <c r="A153" s="67" t="s">
        <v>517</v>
      </c>
      <c r="B153" s="65"/>
      <c r="C153" s="66">
        <f>1637.9</f>
        <v>1637.9</v>
      </c>
      <c r="D153" s="65"/>
      <c r="E153" s="65"/>
      <c r="F153" s="66">
        <f t="shared" si="4"/>
        <v>1637.9</v>
      </c>
    </row>
    <row r="154" spans="1:6" x14ac:dyDescent="0.25">
      <c r="A154" s="67" t="s">
        <v>518</v>
      </c>
      <c r="B154" s="65"/>
      <c r="C154" s="66">
        <f>2674.23</f>
        <v>2674.23</v>
      </c>
      <c r="D154" s="65"/>
      <c r="E154" s="65"/>
      <c r="F154" s="66">
        <f t="shared" si="4"/>
        <v>2674.23</v>
      </c>
    </row>
    <row r="155" spans="1:6" x14ac:dyDescent="0.25">
      <c r="A155" s="67" t="s">
        <v>519</v>
      </c>
      <c r="B155" s="28">
        <f>((B152)+(B153))+(B154)</f>
        <v>0</v>
      </c>
      <c r="C155" s="28">
        <f>((C152)+(C153))+(C154)</f>
        <v>4312.13</v>
      </c>
      <c r="D155" s="28">
        <f>((D152)+(D153))+(D154)</f>
        <v>0</v>
      </c>
      <c r="E155" s="28">
        <f>((E152)+(E153))+(E154)</f>
        <v>0</v>
      </c>
      <c r="F155" s="28">
        <f t="shared" si="4"/>
        <v>4312.13</v>
      </c>
    </row>
    <row r="156" spans="1:6" x14ac:dyDescent="0.25">
      <c r="A156" s="67" t="s">
        <v>520</v>
      </c>
      <c r="B156" s="28">
        <f>(B151)+(B155)</f>
        <v>0</v>
      </c>
      <c r="C156" s="28">
        <f>(C151)+(C155)</f>
        <v>4312.13</v>
      </c>
      <c r="D156" s="28">
        <f>(D151)+(D155)</f>
        <v>0</v>
      </c>
      <c r="E156" s="28">
        <f>(E151)+(E155)</f>
        <v>0</v>
      </c>
      <c r="F156" s="28">
        <f t="shared" si="4"/>
        <v>4312.13</v>
      </c>
    </row>
    <row r="157" spans="1:6" x14ac:dyDescent="0.25">
      <c r="A157" s="67" t="s">
        <v>521</v>
      </c>
      <c r="B157" s="28">
        <f>B156</f>
        <v>0</v>
      </c>
      <c r="C157" s="28">
        <f>C156</f>
        <v>4312.13</v>
      </c>
      <c r="D157" s="28">
        <f>D156</f>
        <v>0</v>
      </c>
      <c r="E157" s="28">
        <f>E156</f>
        <v>0</v>
      </c>
      <c r="F157" s="28">
        <f t="shared" si="4"/>
        <v>4312.13</v>
      </c>
    </row>
    <row r="158" spans="1:6" x14ac:dyDescent="0.25">
      <c r="A158" s="67" t="s">
        <v>522</v>
      </c>
      <c r="B158" s="28">
        <f>(B149)-(B157)</f>
        <v>0</v>
      </c>
      <c r="C158" s="28">
        <f>(C149)-(C157)</f>
        <v>48373.310000000005</v>
      </c>
      <c r="D158" s="28">
        <f>(D149)-(D157)</f>
        <v>0</v>
      </c>
      <c r="E158" s="28">
        <f>(E149)-(E157)</f>
        <v>0</v>
      </c>
      <c r="F158" s="28">
        <f t="shared" si="4"/>
        <v>48373.310000000005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Update</vt:lpstr>
      <vt:lpstr>Balance Sheet</vt:lpstr>
      <vt:lpstr>Mission and Operations</vt:lpstr>
      <vt:lpstr>Camp YTD</vt:lpstr>
      <vt:lpstr>Class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2023-03-10T22:11:59Z</dcterms:created>
  <dcterms:modified xsi:type="dcterms:W3CDTF">2023-03-10T22:34:51Z</dcterms:modified>
</cp:coreProperties>
</file>