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 Update" sheetId="1" r:id="rId4"/>
    <sheet state="visible" name="Balance Sheet" sheetId="2" r:id="rId5"/>
    <sheet state="visible" name="Mission &amp; Operation" sheetId="3" r:id="rId6"/>
    <sheet state="visible" name="Camp" sheetId="4" r:id="rId7"/>
    <sheet state="visible" name="class report" sheetId="5" r:id="rId8"/>
  </sheets>
  <externalReferences>
    <externalReference r:id="rId9"/>
  </externalReferences>
  <definedNames/>
  <calcPr/>
  <extLst>
    <ext uri="GoogleSheetsCustomDataVersion2">
      <go:sheetsCustomData xmlns:go="http://customooxmlschemas.google.com/" r:id="rId10" roundtripDataChecksum="OiwHM6CA4yplxChRLluWBHlPm8D2/dowGqei+1yhDwM="/>
    </ext>
  </extLst>
</workbook>
</file>

<file path=xl/sharedStrings.xml><?xml version="1.0" encoding="utf-8"?>
<sst xmlns="http://schemas.openxmlformats.org/spreadsheetml/2006/main" count="709" uniqueCount="553">
  <si>
    <t>Presbytery of Geneva - 2023</t>
  </si>
  <si>
    <t>Jan - April 2023</t>
  </si>
  <si>
    <t>2022
Y-T-D</t>
  </si>
  <si>
    <t>2022
Budget</t>
  </si>
  <si>
    <t>Giving and Other Receipts (Income)</t>
  </si>
  <si>
    <t>Presbytery Receipts</t>
  </si>
  <si>
    <t>Per Capita</t>
  </si>
  <si>
    <t>Presbytery Mission</t>
  </si>
  <si>
    <t>Other Presbytery Receipts</t>
  </si>
  <si>
    <t xml:space="preserve">    Misc Other</t>
  </si>
  <si>
    <t>Total Presbytery Receipts</t>
  </si>
  <si>
    <t>Camp Whitman Receipts</t>
  </si>
  <si>
    <t xml:space="preserve">     Camper &amp; Group Fees</t>
  </si>
  <si>
    <t xml:space="preserve">     Presbytery of Geneva Mission</t>
  </si>
  <si>
    <t xml:space="preserve">     Other Donations</t>
  </si>
  <si>
    <t>Total Camp Receipts</t>
  </si>
  <si>
    <t>Total Giving &amp; Other Receipts</t>
  </si>
  <si>
    <t>Ministry &amp; Mission (Expenditures)</t>
  </si>
  <si>
    <t>Presbytery Expenses</t>
  </si>
  <si>
    <t>Total Personnel</t>
  </si>
  <si>
    <t>Mission allocation to Camp</t>
  </si>
  <si>
    <t>Total Mission</t>
  </si>
  <si>
    <t>Total Operations</t>
  </si>
  <si>
    <t>Total Presbytery Expenses</t>
  </si>
  <si>
    <t>Camp Whitman Expenses</t>
  </si>
  <si>
    <t>Year-Round Staff Salaries</t>
  </si>
  <si>
    <t>Camp Summer Salaries</t>
  </si>
  <si>
    <t xml:space="preserve"> Salary Exp - Other</t>
  </si>
  <si>
    <t xml:space="preserve"> Contractors</t>
  </si>
  <si>
    <t>Program Expenses</t>
  </si>
  <si>
    <t>Operating Expenses</t>
  </si>
  <si>
    <t>Total Camp Whitman Expenses</t>
  </si>
  <si>
    <t>Total Ministry &amp; Mission</t>
  </si>
  <si>
    <r>
      <rPr>
        <rFont val="Calibri"/>
        <b/>
        <color rgb="FF000000"/>
        <sz val="12.0"/>
      </rPr>
      <t>Budget Surplus /</t>
    </r>
    <r>
      <rPr>
        <rFont val="Calibri"/>
        <b/>
        <color rgb="FFFF0000"/>
        <sz val="12.0"/>
      </rPr>
      <t xml:space="preserve"> (Shortage)</t>
    </r>
  </si>
  <si>
    <t>Net Dedicated Accts</t>
  </si>
  <si>
    <t>Net Investment Activity</t>
  </si>
  <si>
    <t>Change in Life Interest</t>
  </si>
  <si>
    <t>Other Income New covenant</t>
  </si>
  <si>
    <t>Net closing on Sale/depreciation</t>
  </si>
  <si>
    <t>Prior Year Adj</t>
  </si>
  <si>
    <t>Net Income Per Balance Sheet</t>
  </si>
  <si>
    <t>Membership</t>
  </si>
  <si>
    <t>Presbytery per capita</t>
  </si>
  <si>
    <t>Synod per capita</t>
  </si>
  <si>
    <t>GA per capita</t>
  </si>
  <si>
    <t>Total per capita</t>
  </si>
  <si>
    <t>Presbytery of Geneva</t>
  </si>
  <si>
    <t>Balance Sheet</t>
  </si>
  <si>
    <t>As of April 30, 2023</t>
  </si>
  <si>
    <t>Total</t>
  </si>
  <si>
    <t>As of Apr 30, 2023</t>
  </si>
  <si>
    <t>As of Apr 30, 2022 (PY)</t>
  </si>
  <si>
    <t>ASSETS</t>
  </si>
  <si>
    <t xml:space="preserve">   Current Assets</t>
  </si>
  <si>
    <t xml:space="preserve">      Bank Accounts</t>
  </si>
  <si>
    <t xml:space="preserve">         101 Community Bank - Operating  (1525)</t>
  </si>
  <si>
    <t xml:space="preserve">         102 Community Savings - MM</t>
  </si>
  <si>
    <t xml:space="preserve">         103 Community Bank - Savings</t>
  </si>
  <si>
    <t xml:space="preserve">         104 Community Bank - CCCF</t>
  </si>
  <si>
    <t xml:space="preserve">         105 Community - Camp Checking (0670)</t>
  </si>
  <si>
    <t xml:space="preserve">         106 Community - Camp Savings 2473</t>
  </si>
  <si>
    <t xml:space="preserve">         110 Community Bank - Mexico Mission</t>
  </si>
  <si>
    <t xml:space="preserve">         120 PayPal</t>
  </si>
  <si>
    <t xml:space="preserve">         130 Presbytery Mission Exchange</t>
  </si>
  <si>
    <t xml:space="preserve">         135 Presbyterian Foundation</t>
  </si>
  <si>
    <t xml:space="preserve">            135-1 Fidelity-Camp Whitman</t>
  </si>
  <si>
    <t xml:space="preserve">         Total 135 Presbyterian Foundation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</si>
  <si>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</si>
  <si>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</si>
  <si>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</si>
  <si>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   11001 A/R - YTD Adj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</si>
  <si>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</si>
  <si>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</si>
  <si>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</si>
  <si>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   12500 Start Up Cash</t>
  </si>
  <si>
    <t xml:space="preserve">         13000 Inventory</t>
  </si>
  <si>
    <t xml:space="preserve">         14400 Prepaid Expenses</t>
  </si>
  <si>
    <t xml:space="preserve">         Payroll Corrections</t>
  </si>
  <si>
    <t xml:space="preserve">      Total Other Current Assets</t>
  </si>
  <si>
    <t xml:space="preserve">   Total Current Assets</t>
  </si>
  <si>
    <t xml:space="preserve">   Fixed Assets</t>
  </si>
  <si>
    <t xml:space="preserve">      10000 Presbytery</t>
  </si>
  <si>
    <t xml:space="preserve">         14000 FA - Presbytery</t>
  </si>
  <si>
    <t xml:space="preserve">            14210 Building</t>
  </si>
  <si>
    <t xml:space="preserve">            14500 Leasehold improvements</t>
  </si>
  <si>
    <t xml:space="preserve">            14800 Furniture and Equipment</t>
  </si>
  <si>
    <t xml:space="preserve">            14900 Vehicles</t>
  </si>
  <si>
    <t xml:space="preserve">         Total 14000 FA - Presbytery</t>
  </si>
  <si>
    <t xml:space="preserve">         14200 A/D - Presbytery</t>
  </si>
  <si>
    <t xml:space="preserve">            14100 Building - A/D</t>
  </si>
  <si>
    <t xml:space="preserve">            14510 Leasehold Improv - A/D</t>
  </si>
  <si>
    <t xml:space="preserve">            14810 Furniture &amp; Fixtures - A/D</t>
  </si>
  <si>
    <t xml:space="preserve">            15301 Accumulated Amortization</t>
  </si>
  <si>
    <t xml:space="preserve">         Total 14200 A/D - Presbytery</t>
  </si>
  <si>
    <t xml:space="preserve">         15000 FA - Camp</t>
  </si>
  <si>
    <t xml:space="preserve">            15100 Buildings</t>
  </si>
  <si>
    <t xml:space="preserve">            15150 Land</t>
  </si>
  <si>
    <t xml:space="preserve">            15200 Improvements</t>
  </si>
  <si>
    <t xml:space="preserve">            15300 Furniture &amp; Equipment</t>
  </si>
  <si>
    <t xml:space="preserve">            15600 Vehicles &amp; Boats</t>
  </si>
  <si>
    <t xml:space="preserve">               15310 Boats</t>
  </si>
  <si>
    <t xml:space="preserve">               15340 Vehicles/Tractors</t>
  </si>
  <si>
    <t xml:space="preserve">            Total 15600 Vehicles &amp; Boats</t>
  </si>
  <si>
    <t xml:space="preserve">         Total 15000 FA - Camp</t>
  </si>
  <si>
    <t xml:space="preserve">         15700 A/D - Camp</t>
  </si>
  <si>
    <t xml:space="preserve">            15110 Buildings - A/D</t>
  </si>
  <si>
    <t xml:space="preserve">            15210 Improvements - A/D</t>
  </si>
  <si>
    <t xml:space="preserve">            15320 Furniture &amp; Fixtures - A/D</t>
  </si>
  <si>
    <t xml:space="preserve">            15450 Vehicles &amp; Boats - A/D</t>
  </si>
  <si>
    <t xml:space="preserve">               15311 Boats - A/D</t>
  </si>
  <si>
    <t xml:space="preserve">               15341 Vehicles - A/D</t>
  </si>
  <si>
    <t xml:space="preserve">            Total 15450 Vehicles &amp; Boats - A/D</t>
  </si>
  <si>
    <t xml:space="preserve">         Total 15700 A/D - Camp</t>
  </si>
  <si>
    <t xml:space="preserve">      Total 10000 Presbytery</t>
  </si>
  <si>
    <t xml:space="preserve">   Total Fixed Assets</t>
  </si>
  <si>
    <t xml:space="preserve">   Other Assets</t>
  </si>
  <si>
    <t xml:space="preserve">      300 Marketable Securities</t>
  </si>
  <si>
    <t xml:space="preserve">         301 Smith Barney MM - 13902-19</t>
  </si>
  <si>
    <t xml:space="preserve">         301.1 Morgan Stanley - MM 111909</t>
  </si>
  <si>
    <t xml:space="preserve">            301.11 Cash, MM</t>
  </si>
  <si>
    <t xml:space="preserve">            301.13 Stocks</t>
  </si>
  <si>
    <t xml:space="preserve">            301.14 Mutual Funds</t>
  </si>
  <si>
    <t xml:space="preserve">         Total 301.1 Morgan Stanley - MM 111909</t>
  </si>
  <si>
    <t xml:space="preserve">         302 Endowment- Canoga Church</t>
  </si>
  <si>
    <t xml:space="preserve">         303 Endowment-Presbytery Gen'l</t>
  </si>
  <si>
    <t xml:space="preserve">         304 Endowment- Camp Whitman</t>
  </si>
  <si>
    <t xml:space="preserve">         401 Int PF GP Endowment</t>
  </si>
  <si>
    <t xml:space="preserve">      Total 300 Marketable Securities</t>
  </si>
  <si>
    <t xml:space="preserve">      555 Property Dissolution of Church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</si>
  <si>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</si>
  <si>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</si>
  <si>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</si>
  <si>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</si>
  <si>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</si>
  <si>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</si>
  <si>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</si>
  <si>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</si>
  <si>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Credit Cards</t>
  </si>
  <si>
    <t xml:space="preserve">            2850.00 Community Bank</t>
  </si>
  <si>
    <t xml:space="preserve">               2850.10 Elena Delhagen</t>
  </si>
  <si>
    <t xml:space="preserve">               2850.20 Lea Kone</t>
  </si>
  <si>
    <t xml:space="preserve">               2850.25 Susan Orr</t>
  </si>
  <si>
    <t xml:space="preserve">               2850.30 Camp Facility Manager</t>
  </si>
  <si>
    <t xml:space="preserve">               2855.10 Program Director</t>
  </si>
  <si>
    <t xml:space="preserve">               2855.20 Marjorie Ackermann</t>
  </si>
  <si>
    <t xml:space="preserve">            Total 2850.00 Community Bank</t>
  </si>
  <si>
    <t xml:space="preserve">            29500 Bank of America</t>
  </si>
  <si>
    <t xml:space="preserve">               25934 Alvarez, Alicia - 9360</t>
  </si>
  <si>
    <t xml:space="preserve">               29510 BA - K. Jensen - 0246</t>
  </si>
  <si>
    <t xml:space="preserve">               29520 BA - D. Jepsen - 5751</t>
  </si>
  <si>
    <t xml:space="preserve">               29530 BA - LBB - 6199</t>
  </si>
  <si>
    <t xml:space="preserve">               29532 BA  - L Kone - 7721</t>
  </si>
  <si>
    <t xml:space="preserve">               29535 Delhagen, Elena-9814</t>
  </si>
  <si>
    <t xml:space="preserve">               29536 Orr, Susan - 6712</t>
  </si>
  <si>
    <t xml:space="preserve">            Total 29500 Bank of America</t>
  </si>
  <si>
    <t xml:space="preserve">         Total Credit Cards</t>
  </si>
  <si>
    <t xml:space="preserve">         Other Current Liabilities</t>
  </si>
  <si>
    <t xml:space="preserve">            26000 CB - Building Loan</t>
  </si>
  <si>
    <t xml:space="preserve">            26510 Due to</t>
  </si>
  <si>
    <t xml:space="preserve">            26550 Deferred Revenue</t>
  </si>
  <si>
    <t xml:space="preserve">            26555 Def Revenue Camp</t>
  </si>
  <si>
    <t xml:space="preserve">            26660 Accrued Payroll</t>
  </si>
  <si>
    <t xml:space="preserve">            27850 Due To - NCD Special Offering</t>
  </si>
  <si>
    <t xml:space="preserve">            6280 Federal Witholding</t>
  </si>
  <si>
    <t xml:space="preserve">            6285 FICA-Employee Share</t>
  </si>
  <si>
    <t xml:space="preserve">            6290 State Witholding</t>
  </si>
  <si>
    <t xml:space="preserve">          26550 - Deferred Revenue</t>
  </si>
  <si>
    <t xml:space="preserve">            Payroll Liabilities</t>
  </si>
  <si>
    <t xml:space="preserve">               28010 Federal Taxes (941/944)</t>
  </si>
  <si>
    <t xml:space="preserve">               28020 NYS Income Tax</t>
  </si>
  <si>
    <t xml:space="preserve">               CA PIT / SDI</t>
  </si>
  <si>
    <t xml:space="preserve">               CT Income Tax</t>
  </si>
  <si>
    <t xml:space="preserve">               Direct Deposit Payable</t>
  </si>
  <si>
    <t xml:space="preserve">               MA Income Tax</t>
  </si>
  <si>
    <t xml:space="preserve">               ME Income Tax</t>
  </si>
  <si>
    <t xml:space="preserve">               MEMBER DENTAL</t>
  </si>
  <si>
    <t xml:space="preserve">               NY PFL</t>
  </si>
  <si>
    <t xml:space="preserve">               NY SDI</t>
  </si>
  <si>
    <t xml:space="preserve">               NYS Employment Taxes</t>
  </si>
  <si>
    <t xml:space="preserve">            Total Payroll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</si>
  <si>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</si>
  <si>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</si>
  <si>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</si>
  <si>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</si>
  <si>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3200.00 Net Assets without Restrictions</t>
  </si>
  <si>
    <t xml:space="preserve">         3200.10 Operations</t>
  </si>
  <si>
    <t xml:space="preserve">         3200.20 Board Designated</t>
  </si>
  <si>
    <t xml:space="preserve">      Total 3200.00 Net Assets without Restrictions</t>
  </si>
  <si>
    <t xml:space="preserve">      32000 Unrestricted Net Assets</t>
  </si>
  <si>
    <t xml:space="preserve">      3440.00 Net Assets with Restrictions</t>
  </si>
  <si>
    <t xml:space="preserve">         3440.10 Perm. Restricted Net Assets</t>
  </si>
  <si>
    <t xml:space="preserve">         3440.15 TR - Purpose</t>
  </si>
  <si>
    <t xml:space="preserve">         3440.30 TR - Time Restricted</t>
  </si>
  <si>
    <t xml:space="preserve">         3440.40 TR-Unappropriated Endowment Earnings</t>
  </si>
  <si>
    <t xml:space="preserve">      Total 3440.00 Net Assets with Restrictions</t>
  </si>
  <si>
    <t xml:space="preserve">      800 Opening Bal Equity</t>
  </si>
  <si>
    <t xml:space="preserve">      Net Income</t>
  </si>
  <si>
    <t xml:space="preserve">   Total Equity</t>
  </si>
  <si>
    <t>TOTAL LIABILITIES AND EQUITY</t>
  </si>
  <si>
    <t>Sunday, May 07, 2023 12:59:56 PM GMT-7 - Accrual Basis</t>
  </si>
  <si>
    <t xml:space="preserve">Budget Overview: Operating &amp; Mission 2023 - FY23 P&amp;L </t>
  </si>
  <si>
    <t>Jan -April 2023</t>
  </si>
  <si>
    <t>Income</t>
  </si>
  <si>
    <t xml:space="preserve">   4000.00 Presbytery Receipts</t>
  </si>
  <si>
    <t xml:space="preserve">      4200.00 Mission - Presbytery</t>
  </si>
  <si>
    <t xml:space="preserve">         3100_M Presbytery Mission</t>
  </si>
  <si>
    <t xml:space="preserve">      Total 4200.00 Mission - Presbytery</t>
  </si>
  <si>
    <t xml:space="preserve">      4200_OP Per Capita</t>
  </si>
  <si>
    <t xml:space="preserve">         4200 Operation</t>
  </si>
  <si>
    <t xml:space="preserve">            4200_O Presbytery Per Capita</t>
  </si>
  <si>
    <t xml:space="preserve">         Total 4200 Operation</t>
  </si>
  <si>
    <t xml:space="preserve">      Total 4200_OP Per Capita</t>
  </si>
  <si>
    <t xml:space="preserve">      4303.00 Other Presbytery Reciepts</t>
  </si>
  <si>
    <t xml:space="preserve">         3200 Synod</t>
  </si>
  <si>
    <t xml:space="preserve">            3200_M Synod Mission</t>
  </si>
  <si>
    <t xml:space="preserve">         Total 3200 Synod</t>
  </si>
  <si>
    <t xml:space="preserve">         4440_O Miscellaneous</t>
  </si>
  <si>
    <t xml:space="preserve">            4500.O Interest</t>
  </si>
  <si>
    <t xml:space="preserve">            Undistributed Income</t>
  </si>
  <si>
    <t xml:space="preserve">            4404_O Other</t>
  </si>
  <si>
    <t xml:space="preserve">         Total 4440_O Miscellaneous</t>
  </si>
  <si>
    <t xml:space="preserve">      Total 4303.00 Other Presbytery Reciepts</t>
  </si>
  <si>
    <t xml:space="preserve">   Total 4000.00 Presbytery Receipts</t>
  </si>
  <si>
    <t>Total Income</t>
  </si>
  <si>
    <t>Gross Profit</t>
  </si>
  <si>
    <t>Expenses</t>
  </si>
  <si>
    <t xml:space="preserve">   2222.00 Presbytery Expenses</t>
  </si>
  <si>
    <t xml:space="preserve">      6000_O Salaries and Benefits</t>
  </si>
  <si>
    <t xml:space="preserve">         6001_O Executive Salaries</t>
  </si>
  <si>
    <t xml:space="preserve">            6050_O Presbytery Leader</t>
  </si>
  <si>
    <t xml:space="preserve">               6051_O Cash Salary - Operations</t>
  </si>
  <si>
    <t xml:space="preserve">               6053_O SECA Offset/FICA</t>
  </si>
  <si>
    <t xml:space="preserve">               6052_O Housing</t>
  </si>
  <si>
    <t xml:space="preserve">               6054_O  Major Medical/Dental</t>
  </si>
  <si>
    <t xml:space="preserve">               6056_O Board of Pensions</t>
  </si>
  <si>
    <t xml:space="preserve">               6057_O Study Leave</t>
  </si>
  <si>
    <t xml:space="preserve">               6058_M travel Missions</t>
  </si>
  <si>
    <t xml:space="preserve">               6058_O Travel/Business </t>
  </si>
  <si>
    <t xml:space="preserve">             6058_M - Travel Business Mission</t>
  </si>
  <si>
    <t xml:space="preserve">               6060_O - Fidelity - Retirement</t>
  </si>
  <si>
    <t xml:space="preserve">            Total 6050_O Presbytery Leader</t>
  </si>
  <si>
    <t xml:space="preserve">         Total 6001_O Executive Salaries</t>
  </si>
  <si>
    <t xml:space="preserve">         6020_O Stated Clerk</t>
  </si>
  <si>
    <t xml:space="preserve">            6021_O Cash Salary</t>
  </si>
  <si>
    <t xml:space="preserve">            6027_O Per diem</t>
  </si>
  <si>
    <t xml:space="preserve">            6023_O Seca Offset/Fica</t>
  </si>
  <si>
    <t xml:space="preserve">            6027_O Travel/Business</t>
  </si>
  <si>
    <t xml:space="preserve">         Total 6020_O Stated Clerk</t>
  </si>
  <si>
    <t xml:space="preserve">         6030_O Administrative Service</t>
  </si>
  <si>
    <t xml:space="preserve">            6031_O Cash Salary - Communication</t>
  </si>
  <si>
    <t xml:space="preserve">            6041_O Cash Salary - Financial Assistant</t>
  </si>
  <si>
    <t xml:space="preserve">            6065-O Payroll Taxes</t>
  </si>
  <si>
    <t xml:space="preserve">            6036_O Board of Pension/Fidelity Inv.</t>
  </si>
  <si>
    <t xml:space="preserve">             6796 _O Travel Presbytery Mtgs</t>
  </si>
  <si>
    <t xml:space="preserve">            6795_O Staff Travel</t>
  </si>
  <si>
    <t xml:space="preserve">         Total 6030_O Communication</t>
  </si>
  <si>
    <t xml:space="preserve">         6222_O Benefits</t>
  </si>
  <si>
    <t xml:space="preserve">            6220_O Disability Insurance</t>
  </si>
  <si>
    <t xml:space="preserve">            6250_O Worker's Comp</t>
  </si>
  <si>
    <t xml:space="preserve">           6251_O other</t>
  </si>
  <si>
    <t xml:space="preserve">           9999 - Uncatergorized Exp</t>
  </si>
  <si>
    <t xml:space="preserve">            6270_O Unemployment Insurance</t>
  </si>
  <si>
    <t xml:space="preserve">         Total 6222_O Benefits</t>
  </si>
  <si>
    <t xml:space="preserve">      Total 6000_O Salaries and Benefits</t>
  </si>
  <si>
    <t xml:space="preserve">      6800.00 MISSION EXPENDITURES</t>
  </si>
  <si>
    <t xml:space="preserve">         5100_M Presbytery Endorsed Projects</t>
  </si>
  <si>
    <t xml:space="preserve">            5155_M Youth Triennium</t>
  </si>
  <si>
    <t xml:space="preserve">         Total 5100_M Presbytery Endorsed Projects</t>
  </si>
  <si>
    <t xml:space="preserve">         5200_M Mission &amp; Witness (inc. grants)</t>
  </si>
  <si>
    <t xml:space="preserve">         </t>
  </si>
  <si>
    <t xml:space="preserve">         5350_M Mission Allocation to Camp</t>
  </si>
  <si>
    <t xml:space="preserve">          5135_O - New Church Development</t>
  </si>
  <si>
    <t xml:space="preserve">         6500_M Mission Priority of Presbytery</t>
  </si>
  <si>
    <t xml:space="preserve">            6501_M - Other</t>
  </si>
  <si>
    <t xml:space="preserve">            6504_M Leader Care</t>
  </si>
  <si>
    <t xml:space="preserve">            6509_M Vitality</t>
  </si>
  <si>
    <t xml:space="preserve">            6511_M Committee on Ministry</t>
  </si>
  <si>
    <t xml:space="preserve">         Total 6500_M Mission Priority of Presbytery</t>
  </si>
  <si>
    <t xml:space="preserve">      Total 6800.00 MISSION EXPENDITURES</t>
  </si>
  <si>
    <t xml:space="preserve">      7100.00 Operating Expenses</t>
  </si>
  <si>
    <t xml:space="preserve">         6600_O Office Expenses</t>
  </si>
  <si>
    <t xml:space="preserve">            6615_O Maintenance &amp; Repairs</t>
  </si>
  <si>
    <t xml:space="preserve">            6620_O Utilities</t>
  </si>
  <si>
    <t xml:space="preserve">            6630_O Telephone</t>
  </si>
  <si>
    <t xml:space="preserve">            6640_O Postage/PO Box</t>
  </si>
  <si>
    <t xml:space="preserve">            6651_O Bank Fees</t>
  </si>
  <si>
    <t xml:space="preserve">            6655_O Equip. Leases/Service Contracts</t>
  </si>
  <si>
    <t xml:space="preserve">            6660_O Equipment Purchases</t>
  </si>
  <si>
    <t xml:space="preserve">            6661_O Computer Software-Hardware</t>
  </si>
  <si>
    <t xml:space="preserve">            6662_O Committee Expenses</t>
  </si>
  <si>
    <t xml:space="preserve">            6665_O Website</t>
  </si>
  <si>
    <t xml:space="preserve">            6670_O Office Supplies &amp; Hospitality</t>
  </si>
  <si>
    <t xml:space="preserve">           6756_O - Home Office reimbursement</t>
  </si>
  <si>
    <t xml:space="preserve">            6685_O Staff Development</t>
  </si>
  <si>
    <t xml:space="preserve">            6856_O Rent Storage Space</t>
  </si>
  <si>
    <t xml:space="preserve">            6715_O -  Dues</t>
  </si>
  <si>
    <t xml:space="preserve">            6755_O Building Loan</t>
  </si>
  <si>
    <t xml:space="preserve">         Total 6600_O Office Expenses</t>
  </si>
  <si>
    <t xml:space="preserve">         6700 Other Operating Expenses</t>
  </si>
  <si>
    <t xml:space="preserve">            6720_O Insurance-Office</t>
  </si>
  <si>
    <t xml:space="preserve">            6730_O Synod Per Capita</t>
  </si>
  <si>
    <t xml:space="preserve">            6740_O GA Per Capita</t>
  </si>
  <si>
    <t xml:space="preserve">            6750_O Legal Expenses</t>
  </si>
  <si>
    <t xml:space="preserve">            6770_O GA/Synod Meetings</t>
  </si>
  <si>
    <t xml:space="preserve">            6775_O Presbytery Meeting Expenses</t>
  </si>
  <si>
    <t xml:space="preserve">            6790_O Moving Expenses</t>
  </si>
  <si>
    <t xml:space="preserve">            6799_O Adj for Uncollectables</t>
  </si>
  <si>
    <t xml:space="preserve">            6800 Outside Contractors</t>
  </si>
  <si>
    <t xml:space="preserve">               6810_O Payroll Service</t>
  </si>
  <si>
    <t xml:space="preserve">              6840_O Computer Services</t>
  </si>
  <si>
    <t xml:space="preserve">               6820_O Bookkeeping</t>
  </si>
  <si>
    <t xml:space="preserve">            Total 6800 Outside Contractors</t>
  </si>
  <si>
    <t xml:space="preserve">            6900 Professional Fees</t>
  </si>
  <si>
    <t xml:space="preserve">               6910_O Auditor Contract</t>
  </si>
  <si>
    <t xml:space="preserve">            Total 6900 Professional Fees</t>
  </si>
  <si>
    <t xml:space="preserve">         Total 6700 Other Operating Expenses</t>
  </si>
  <si>
    <t xml:space="preserve">      Total 7100.00 Operating Expenses</t>
  </si>
  <si>
    <t xml:space="preserve">   Total 2222.00 Presbytery Expenses</t>
  </si>
  <si>
    <t>Total Expenses</t>
  </si>
  <si>
    <t>Net Operating Income</t>
  </si>
  <si>
    <t>Net Income</t>
  </si>
  <si>
    <t>Net Camp Activity</t>
  </si>
  <si>
    <t>Income YTD - New Covenent - Operations</t>
  </si>
  <si>
    <t>Depreciation (Building Sale</t>
  </si>
  <si>
    <t>Prior Year adjustment</t>
  </si>
  <si>
    <t>Net Dedicated Accounts</t>
  </si>
  <si>
    <t>Ties to Balance Sheet</t>
  </si>
  <si>
    <t xml:space="preserve">Budget Overview: Camp 2023 Budget - FY23 P&amp;L </t>
  </si>
  <si>
    <t xml:space="preserve">   4999 CAMP WHITMAN INCOME</t>
  </si>
  <si>
    <t xml:space="preserve">      1001_W Camper &amp; Group Fees</t>
  </si>
  <si>
    <t xml:space="preserve">         1000_W Camper Fees</t>
  </si>
  <si>
    <t xml:space="preserve">         1050_W Rental Group Fees</t>
  </si>
  <si>
    <t xml:space="preserve">         1100_W Holiday Weekend Rental Fees</t>
  </si>
  <si>
    <t xml:space="preserve">         1557_W Meals/Program Fees</t>
  </si>
  <si>
    <t xml:space="preserve">      Total 1001_W Camper &amp; Group Fees</t>
  </si>
  <si>
    <t xml:space="preserve">      1601_W Other Donations</t>
  </si>
  <si>
    <t xml:space="preserve">         1300_W Camp Mission/Scholarship Income</t>
  </si>
  <si>
    <t xml:space="preserve">            1301_W Misc Camper Donations/Scholar.</t>
  </si>
  <si>
    <t xml:space="preserve">            1350_W Pres. of Genesee Local Church</t>
  </si>
  <si>
    <t xml:space="preserve">            1400_W Pres. of Genesee Valley Mission</t>
  </si>
  <si>
    <t xml:space="preserve">            1450_W Pres. of Geneva Churches</t>
  </si>
  <si>
    <t xml:space="preserve">            1500_W Pres. of Geneva Endowment Int</t>
  </si>
  <si>
    <t xml:space="preserve">            1550_W Pres. of Geneva Mission Pledge</t>
  </si>
  <si>
    <t xml:space="preserve">            1551_W Membership Dues</t>
  </si>
  <si>
    <t xml:space="preserve">         Total 1300_W Camp Mission/Scholarship Income</t>
  </si>
  <si>
    <t xml:space="preserve">         1600_W Misc. Income</t>
  </si>
  <si>
    <t xml:space="preserve">         Undistributed Income</t>
  </si>
  <si>
    <t xml:space="preserve">         1665_W Interest</t>
  </si>
  <si>
    <t xml:space="preserve">         1610_W Fund Raising Events</t>
  </si>
  <si>
    <t xml:space="preserve">          Undistributed income</t>
  </si>
  <si>
    <t xml:space="preserve">         1662_W Camp Store</t>
  </si>
  <si>
    <t xml:space="preserve">      Total 1601_W Other Donations</t>
  </si>
  <si>
    <t xml:space="preserve">   Total 4999 CAMP WHITMAN INCOME</t>
  </si>
  <si>
    <t xml:space="preserve">   2111 CAMP WHITMAN EXPENDITURES</t>
  </si>
  <si>
    <t xml:space="preserve">      2000.20 Camp Summer Salaries</t>
  </si>
  <si>
    <t xml:space="preserve">         2010_W Aquatic Director</t>
  </si>
  <si>
    <t xml:space="preserve">        2015_W Office Assistant</t>
  </si>
  <si>
    <t xml:space="preserve">        2020_W Program Staff/Life Guards</t>
  </si>
  <si>
    <t xml:space="preserve">         2032_W Nurse</t>
  </si>
  <si>
    <t xml:space="preserve">         2040_W Head Cook</t>
  </si>
  <si>
    <t xml:space="preserve">         2045_W Assistant Cook</t>
  </si>
  <si>
    <t xml:space="preserve">         2060_W Prep Cook/Dishwasher (2)</t>
  </si>
  <si>
    <t xml:space="preserve">         2070_W Housekeeper/Maint Assist</t>
  </si>
  <si>
    <t xml:space="preserve">         2090_W DD Camp Coordinator</t>
  </si>
  <si>
    <t xml:space="preserve">            2100_W Graded Camp/Program  Co-ordinator</t>
  </si>
  <si>
    <t xml:space="preserve">         2101_W CIT &amp; Mission Trip Leader</t>
  </si>
  <si>
    <t xml:space="preserve">                       Rental Group Host</t>
  </si>
  <si>
    <t xml:space="preserve">                       Housekeeping</t>
  </si>
  <si>
    <t xml:space="preserve">         2103_W Chaplain Intern</t>
  </si>
  <si>
    <t xml:space="preserve">         2106_W Video/Media</t>
  </si>
  <si>
    <t xml:space="preserve">         2102_W Program Director/Assistant Director</t>
  </si>
  <si>
    <t xml:space="preserve">         2110_W Counselors</t>
  </si>
  <si>
    <t xml:space="preserve">      Total 2000.20 Camp Summer Salaries</t>
  </si>
  <si>
    <t xml:space="preserve">      2113_W Year Round Staff Salaries</t>
  </si>
  <si>
    <t xml:space="preserve">         2603_W Camp Director</t>
  </si>
  <si>
    <t xml:space="preserve">            2661_W Cash Salary</t>
  </si>
  <si>
    <t xml:space="preserve">            2663_W Board of Pension</t>
  </si>
  <si>
    <t xml:space="preserve">         Total 2603_W Camp Director</t>
  </si>
  <si>
    <t xml:space="preserve">         2604_W Camp Property Manager</t>
  </si>
  <si>
    <t xml:space="preserve">            2665_W Cash Salary</t>
  </si>
  <si>
    <t xml:space="preserve">         Total 2604_W Camp Property Manager</t>
  </si>
  <si>
    <t xml:space="preserve">         2605_W Assistant Property Manager</t>
  </si>
  <si>
    <t xml:space="preserve">            2668_W Cash Salary</t>
  </si>
  <si>
    <t xml:space="preserve">         2214_W Registration &amp; Program Administration</t>
  </si>
  <si>
    <t xml:space="preserve">            2611_W Cash Salary</t>
  </si>
  <si>
    <t xml:space="preserve">      Total 2113_W Year Round Staff Salaries</t>
  </si>
  <si>
    <t xml:space="preserve">      2117_W Camp Payroll Other</t>
  </si>
  <si>
    <t xml:space="preserve">         2120_W Workers Comp_Camp</t>
  </si>
  <si>
    <t xml:space="preserve">         2125_W FICA_Camp</t>
  </si>
  <si>
    <t xml:space="preserve">         2127_W Recruitement</t>
  </si>
  <si>
    <t xml:space="preserve">         2126_W Other/Outside Contractor</t>
  </si>
  <si>
    <t xml:space="preserve">           2621_W Lawn Mowing</t>
  </si>
  <si>
    <t xml:space="preserve">           2622_W Maintenance</t>
  </si>
  <si>
    <t xml:space="preserve">           2623_W Housekeeping</t>
  </si>
  <si>
    <t xml:space="preserve">           2624_W Assistant Directro - Camper &amp; Counselor Care</t>
  </si>
  <si>
    <t xml:space="preserve">           2625_W Farm &amp; Garden Manager</t>
  </si>
  <si>
    <t xml:space="preserve">          2526_W First Presbyterian </t>
  </si>
  <si>
    <t xml:space="preserve">         2128_W Payroll Service Fees</t>
  </si>
  <si>
    <t xml:space="preserve">         2129_W NYS DBL</t>
  </si>
  <si>
    <t>Total 2117_W Camp Payroll Other</t>
  </si>
  <si>
    <t xml:space="preserve">      2200_W Program Expense</t>
  </si>
  <si>
    <t xml:space="preserve">         2205_W Bank Fees</t>
  </si>
  <si>
    <t xml:space="preserve">         2099_W Uncategorized Expenses Camp</t>
  </si>
  <si>
    <t xml:space="preserve">         2210_W Computer Software &amp; Support</t>
  </si>
  <si>
    <t xml:space="preserve">        2222_W Permits</t>
  </si>
  <si>
    <t xml:space="preserve">         2225_W Arts &amp; Crafts</t>
  </si>
  <si>
    <t xml:space="preserve">         2230_W General Program Expenses</t>
  </si>
  <si>
    <t xml:space="preserve">         2232_W Staff Expenses</t>
  </si>
  <si>
    <t xml:space="preserve">            2235_W Mileage/Meals for Staff</t>
  </si>
  <si>
    <t xml:space="preserve">            2236_W Staff Appreciation</t>
  </si>
  <si>
    <t xml:space="preserve">            2254_W Staff Travel</t>
  </si>
  <si>
    <t xml:space="preserve">         Total 2232_W Staff Expenses</t>
  </si>
  <si>
    <t xml:space="preserve">         2243_W Committee Exp.</t>
  </si>
  <si>
    <t xml:space="preserve">         2251_W Office Expenses/Support</t>
  </si>
  <si>
    <t xml:space="preserve">            2252_W Office Supplies</t>
  </si>
  <si>
    <t xml:space="preserve">            2255_W Postage</t>
  </si>
  <si>
    <t xml:space="preserve">         Total 2251_W Office Expenses/Support</t>
  </si>
  <si>
    <t xml:space="preserve">         2256_W Professional Developement</t>
  </si>
  <si>
    <t xml:space="preserve">         2265_W Staff Training</t>
  </si>
  <si>
    <t xml:space="preserve">         2270_W Camp Store</t>
  </si>
  <si>
    <t xml:space="preserve">         2271_W Staff T Shirts</t>
  </si>
  <si>
    <t xml:space="preserve">         2275_W Registration Materials</t>
  </si>
  <si>
    <t xml:space="preserve">         2280_W Program Equipment</t>
  </si>
  <si>
    <t xml:space="preserve">         2290_W Marketing &amp; Advertising</t>
  </si>
  <si>
    <t xml:space="preserve">         2291_W Website</t>
  </si>
  <si>
    <t xml:space="preserve">         2400_W Swimming Pool</t>
  </si>
  <si>
    <t xml:space="preserve">            2410_W Chemicals</t>
  </si>
  <si>
    <t xml:space="preserve">            2420_W Equipment and Repair</t>
  </si>
  <si>
    <t xml:space="preserve">         Total 2400_W Swimming Pool</t>
  </si>
  <si>
    <t xml:space="preserve">         2500_W Lakefront</t>
  </si>
  <si>
    <t xml:space="preserve">            2510_W Boat Maintenance &amp; Repair</t>
  </si>
  <si>
    <t xml:space="preserve">            2530_W Equipment &amp; Repair</t>
  </si>
  <si>
    <t xml:space="preserve">         Total 2500_W Lakefront</t>
  </si>
  <si>
    <t xml:space="preserve">         2600_W Medical</t>
  </si>
  <si>
    <t xml:space="preserve">            2610_W Medical Supplies &amp; Equipment</t>
  </si>
  <si>
    <t xml:space="preserve">         Total 2600_W Medical</t>
  </si>
  <si>
    <t xml:space="preserve">         2700_W Kitchen</t>
  </si>
  <si>
    <t xml:space="preserve">            2710_W Food</t>
  </si>
  <si>
    <t xml:space="preserve">            2720_W Kitchen &amp; Cleaning Supplies</t>
  </si>
  <si>
    <t xml:space="preserve">            2730_W Equipment &amp; Repair</t>
  </si>
  <si>
    <t xml:space="preserve">            2731_W Kitchen Supplies/Equipment</t>
  </si>
  <si>
    <t xml:space="preserve">         Total 2700_W Kitchen</t>
  </si>
  <si>
    <t xml:space="preserve">         2725_W Fund Raising Expenses</t>
  </si>
  <si>
    <t xml:space="preserve">         2750_W Permits/Memberships</t>
  </si>
  <si>
    <t xml:space="preserve">      Total 2200_W Program Expense</t>
  </si>
  <si>
    <t xml:space="preserve">      2500.00 Camp Operating Expenses</t>
  </si>
  <si>
    <t xml:space="preserve">         2150_W Insurance</t>
  </si>
  <si>
    <t xml:space="preserve">            2154_W Vehicle</t>
  </si>
  <si>
    <t xml:space="preserve">            2155_W Property/Liability/Accident</t>
  </si>
  <si>
    <t xml:space="preserve">         Total 2150_W Insurance</t>
  </si>
  <si>
    <t xml:space="preserve">         2300_W Utilities</t>
  </si>
  <si>
    <t xml:space="preserve">            2310_W Telephone &amp; Internet</t>
  </si>
  <si>
    <t xml:space="preserve">            2320_W Electric</t>
  </si>
  <si>
    <t xml:space="preserve">            2330_W Propane Gas</t>
  </si>
  <si>
    <t xml:space="preserve">         Total 2300_W Utilities</t>
  </si>
  <si>
    <t xml:space="preserve">         2800_W Vehicle Maintenance</t>
  </si>
  <si>
    <t xml:space="preserve">            2810_W Cars &amp; Trucks</t>
  </si>
  <si>
    <t xml:space="preserve">            2820_W Tractor</t>
  </si>
  <si>
    <t xml:space="preserve">            2830_W Golf Carts</t>
  </si>
  <si>
    <t xml:space="preserve">            2840_W Mower</t>
  </si>
  <si>
    <t xml:space="preserve">            2850_W Fuel</t>
  </si>
  <si>
    <t xml:space="preserve">            2860_W Large Equip</t>
  </si>
  <si>
    <t xml:space="preserve">            2865_W Vehicle Rental</t>
  </si>
  <si>
    <t xml:space="preserve">         Total 2800_W Vehicle Maintenance</t>
  </si>
  <si>
    <t xml:space="preserve">         2900 General Maintenance</t>
  </si>
  <si>
    <t xml:space="preserve">            2910_W Small Equipment Repair</t>
  </si>
  <si>
    <t xml:space="preserve">            2920_W New Equipment &amp; Tools</t>
  </si>
  <si>
    <t xml:space="preserve">            2930_W Pump Holding Tanks</t>
  </si>
  <si>
    <t xml:space="preserve">            2940_W Port a Johns</t>
  </si>
  <si>
    <t xml:space="preserve">            2950_W Refuse Removal Fees</t>
  </si>
  <si>
    <t xml:space="preserve">            2960_W Fire Extinguishers</t>
  </si>
  <si>
    <t xml:space="preserve">            2970_W General Supplies</t>
  </si>
  <si>
    <t xml:space="preserve">            2980_W Water System Supplies &amp; Repairs</t>
  </si>
  <si>
    <t xml:space="preserve">            2995_W - Outside Contractors</t>
  </si>
  <si>
    <t xml:space="preserve">            2990_W Lumber &amp; Building Supplies</t>
  </si>
  <si>
    <t xml:space="preserve">         Total 2900 General Maintenance</t>
  </si>
  <si>
    <t xml:space="preserve">      Total 2500.00 Camp Operating Expenses</t>
  </si>
  <si>
    <t xml:space="preserve">   Total 2111 CAMP WHITMAN EXPENDITURES</t>
  </si>
  <si>
    <t xml:space="preserve">Gains/Interest/losses - New Covenant  </t>
  </si>
  <si>
    <t>Net Operating/Missions- income/expenses</t>
  </si>
  <si>
    <t>Net Other Other - Investment gains/losses</t>
  </si>
  <si>
    <t>Net Other Income/other expenses</t>
  </si>
  <si>
    <t>Profit and Loss</t>
  </si>
  <si>
    <t>January - April, 2023</t>
  </si>
  <si>
    <t>Camp</t>
  </si>
  <si>
    <t>Dedicated</t>
  </si>
  <si>
    <t>Missions</t>
  </si>
  <si>
    <t>Operations</t>
  </si>
  <si>
    <t>TOTAL</t>
  </si>
  <si>
    <t xml:space="preserve">         3101_M PM - YTD A/R Adj</t>
  </si>
  <si>
    <t xml:space="preserve">            4202_O PC - YTD A/R Adj</t>
  </si>
  <si>
    <t xml:space="preserve">            4500_O Interest Income</t>
  </si>
  <si>
    <t xml:space="preserve">         1600_W Misc. Other Income/Grants/Interest</t>
  </si>
  <si>
    <t xml:space="preserve">      1700_W Undistributed Income - Camp</t>
  </si>
  <si>
    <t xml:space="preserve">   Services</t>
  </si>
  <si>
    <t xml:space="preserve">         2102_W Program Director</t>
  </si>
  <si>
    <t xml:space="preserve">         2125_W Payroll Taxes - Camp</t>
  </si>
  <si>
    <t xml:space="preserve">         2126_W Other/Outside Contractors</t>
  </si>
  <si>
    <t xml:space="preserve">            2628_W First Presbyterian</t>
  </si>
  <si>
    <t xml:space="preserve">         Total 2126_W Other/Outside Contractors</t>
  </si>
  <si>
    <t xml:space="preserve">      Total 2117_W Camp Payroll Other</t>
  </si>
  <si>
    <t xml:space="preserve">         2205_W BankFees/Commissions</t>
  </si>
  <si>
    <t xml:space="preserve">         2222_W Permits/Memberships</t>
  </si>
  <si>
    <t xml:space="preserve">               6054_O Major Medical/Dental</t>
  </si>
  <si>
    <t xml:space="preserve">               6056_O Board of Pensions/Medical</t>
  </si>
  <si>
    <t xml:space="preserve">               6058_M Travel/Business - Mission</t>
  </si>
  <si>
    <t xml:space="preserve">               6058_O Travel/Business</t>
  </si>
  <si>
    <t xml:space="preserve">            6022_O Per Diem</t>
  </si>
  <si>
    <t xml:space="preserve">            6023_O Payroll Taxes</t>
  </si>
  <si>
    <t xml:space="preserve">            6031_O Cash Salary - Communications</t>
  </si>
  <si>
    <t xml:space="preserve">            6041_O Cash Salary (Financial Assistant)</t>
  </si>
  <si>
    <t xml:space="preserve">            6265_O Payroll Taxes - Admin Services</t>
  </si>
  <si>
    <t xml:space="preserve">            6266_O Payroll taxes - Operations</t>
  </si>
  <si>
    <t xml:space="preserve">         Total 6030_O Administrative Service</t>
  </si>
  <si>
    <t xml:space="preserve">            6251_O Other</t>
  </si>
  <si>
    <t xml:space="preserve">            99999_O Uncatergorized Expenses</t>
  </si>
  <si>
    <t xml:space="preserve">               6501_O General Council</t>
  </si>
  <si>
    <t xml:space="preserve">            Total 6662_O Committee Expenses</t>
  </si>
  <si>
    <t xml:space="preserve">            6715_O Dues &amp; Subscriptions</t>
  </si>
  <si>
    <t xml:space="preserve">            6756_O Home Office Reimbursement</t>
  </si>
  <si>
    <t>Other Income</t>
  </si>
  <si>
    <t xml:space="preserve">   7000 DEDICATED INCOME</t>
  </si>
  <si>
    <t xml:space="preserve">      7050_D Candidates Grant Fund</t>
  </si>
  <si>
    <t xml:space="preserve">      7111_D Camp _ TR</t>
  </si>
  <si>
    <t xml:space="preserve">         7003_D Capital Campaign</t>
  </si>
  <si>
    <t xml:space="preserve">      Total 7111_D Camp _ TR</t>
  </si>
  <si>
    <t xml:space="preserve">      7150_D Two-Cents-A-Meal</t>
  </si>
  <si>
    <t xml:space="preserve">      7250_D Peacemaking</t>
  </si>
  <si>
    <t xml:space="preserve">      7325_D In &amp; Out</t>
  </si>
  <si>
    <t xml:space="preserve">      7350_D Camp Whitman Endowment/Scholarships</t>
  </si>
  <si>
    <t xml:space="preserve">         7351_D Hammondsport Scholarship</t>
  </si>
  <si>
    <t xml:space="preserve">      Total 7350_D Camp Whitman Endowment/Scholarships</t>
  </si>
  <si>
    <t xml:space="preserve">   Total 7000 DEDICATED INCOME</t>
  </si>
  <si>
    <t xml:space="preserve">   Investment Income Activity</t>
  </si>
  <si>
    <t xml:space="preserve">      1665_W Interest/Dividends - Investments</t>
  </si>
  <si>
    <t xml:space="preserve">      4520_0 Investment Gains /losses New Covenent</t>
  </si>
  <si>
    <t xml:space="preserve">      4545_O Interest/Dividends-Investments</t>
  </si>
  <si>
    <t xml:space="preserve">   Total Investment Income Activity</t>
  </si>
  <si>
    <t>Total Other Income</t>
  </si>
  <si>
    <t>Other Expenses</t>
  </si>
  <si>
    <t xml:space="preserve">   8000 DEDICATED EXPENSES</t>
  </si>
  <si>
    <t xml:space="preserve">      8111_D Camp - TR</t>
  </si>
  <si>
    <t xml:space="preserve">         8002_D CW Maintenance Fund</t>
  </si>
  <si>
    <t xml:space="preserve">         8195_D Capital Campaign</t>
  </si>
  <si>
    <t xml:space="preserve">         8229_D Hattie Hardmann Fund</t>
  </si>
  <si>
    <t xml:space="preserve">      Total 8111_D Camp - TR</t>
  </si>
  <si>
    <t xml:space="preserve">      8290_D Board Designated Funds</t>
  </si>
  <si>
    <t xml:space="preserve">         8090_D Youth Triennium</t>
  </si>
  <si>
    <t xml:space="preserve">      Total 8290_D Board Designated Funds</t>
  </si>
  <si>
    <t xml:space="preserve">   Total 8000 DEDICATED EXPENSES</t>
  </si>
  <si>
    <t>Total Other Expenses</t>
  </si>
  <si>
    <t>Net Other Income</t>
  </si>
  <si>
    <t>Sunday, May 07, 2023 12:08:13 PM GMT-7 - Accrual Basis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</si>
</sst>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_);[Red]\(&quot;$&quot;#,##0.00\)"/>
    <numFmt numFmtId="165" formatCode="0.0%"/>
    <numFmt numFmtId="166" formatCode="&quot;$&quot;* #,##0.00\ _€"/>
    <numFmt numFmtId="167" formatCode="#,##0.00\ _€"/>
    <numFmt numFmtId="168" formatCode="&quot;$&quot;#,##0.00"/>
  </numFmts>
  <fonts count="21">
    <font>
      <sz val="11.0"/>
      <color theme="1"/>
      <name val="Calibri"/>
      <scheme val="minor"/>
    </font>
    <font>
      <b/>
      <sz val="12.0"/>
      <color rgb="FF000000"/>
      <name val="Calibri"/>
    </font>
    <font>
      <sz val="12.0"/>
      <color theme="1"/>
      <name val="Calibri"/>
    </font>
    <font>
      <i/>
      <sz val="12.0"/>
      <color rgb="FF000000"/>
      <name val="Calibri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sz val="12.0"/>
      <color rgb="FF000000"/>
      <name val="Calibri"/>
    </font>
    <font>
      <b/>
      <sz val="12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b/>
      <sz val="8.0"/>
      <color rgb="FF000000"/>
      <name val="Arial"/>
    </font>
    <font>
      <b/>
      <sz val="12.0"/>
      <color theme="1"/>
      <name val="Calibri"/>
    </font>
    <font>
      <sz val="11.0"/>
      <color theme="1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  <sz val="9.0"/>
      <color rgb="FF000000"/>
      <name val="Arial"/>
    </font>
    <font/>
    <font>
      <sz val="8.0"/>
      <color rgb="FF000000"/>
      <name val="Arial"/>
    </font>
    <font>
      <color theme="1"/>
      <name val="Calibri"/>
      <scheme val="minor"/>
    </font>
    <font>
      <b/>
      <sz val="11.0"/>
      <color theme="1"/>
      <name val="Calibri"/>
    </font>
    <font>
      <b/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</fills>
  <borders count="18">
    <border/>
    <border>
      <left style="medium">
        <color rgb="FF000000"/>
      </left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/>
      <top/>
      <bottom/>
    </border>
    <border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/>
      <right/>
      <top/>
      <bottom/>
    </border>
    <border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17" xfId="0" applyAlignment="1" applyFont="1" applyNumberFormat="1">
      <alignment horizontal="center" vertical="top"/>
    </xf>
    <xf borderId="1" fillId="0" fontId="1" numFmtId="0" xfId="0" applyAlignment="1" applyBorder="1" applyFont="1">
      <alignment horizontal="center" shrinkToFit="0" wrapText="1"/>
    </xf>
    <xf borderId="1" fillId="0" fontId="1" numFmtId="164" xfId="0" applyAlignment="1" applyBorder="1" applyFont="1" applyNumberFormat="1">
      <alignment horizontal="center" shrinkToFit="0" wrapText="1"/>
    </xf>
    <xf borderId="0" fillId="0" fontId="4" numFmtId="0" xfId="0" applyAlignment="1" applyFont="1">
      <alignment horizontal="center"/>
    </xf>
    <xf borderId="2" fillId="0" fontId="5" numFmtId="164" xfId="0" applyAlignment="1" applyBorder="1" applyFont="1" applyNumberFormat="1">
      <alignment horizontal="right"/>
    </xf>
    <xf borderId="0" fillId="0" fontId="6" numFmtId="0" xfId="0" applyFont="1"/>
    <xf borderId="2" fillId="0" fontId="6" numFmtId="164" xfId="0" applyAlignment="1" applyBorder="1" applyFont="1" applyNumberFormat="1">
      <alignment horizontal="right"/>
    </xf>
    <xf borderId="2" fillId="0" fontId="1" numFmtId="164" xfId="0" applyAlignment="1" applyBorder="1" applyFont="1" applyNumberFormat="1">
      <alignment horizontal="right"/>
    </xf>
    <xf borderId="0" fillId="0" fontId="6" numFmtId="0" xfId="0" applyAlignment="1" applyFont="1">
      <alignment horizontal="left"/>
    </xf>
    <xf borderId="3" fillId="2" fontId="6" numFmtId="164" xfId="0" applyAlignment="1" applyBorder="1" applyFill="1" applyFont="1" applyNumberFormat="1">
      <alignment horizontal="right"/>
    </xf>
    <xf borderId="0" fillId="0" fontId="2" numFmtId="165" xfId="0" applyFont="1" applyNumberFormat="1"/>
    <xf borderId="4" fillId="0" fontId="7" numFmtId="166" xfId="0" applyAlignment="1" applyBorder="1" applyFont="1" applyNumberFormat="1">
      <alignment horizontal="right" shrinkToFit="0" wrapText="1"/>
    </xf>
    <xf borderId="0" fillId="0" fontId="2" numFmtId="164" xfId="0" applyFont="1" applyNumberFormat="1"/>
    <xf borderId="0" fillId="0" fontId="1" numFmtId="0" xfId="0" applyAlignment="1" applyFont="1">
      <alignment horizontal="left"/>
    </xf>
    <xf borderId="5" fillId="0" fontId="6" numFmtId="164" xfId="0" applyAlignment="1" applyBorder="1" applyFont="1" applyNumberFormat="1">
      <alignment horizontal="right"/>
    </xf>
    <xf borderId="6" fillId="0" fontId="6" numFmtId="164" xfId="0" applyAlignment="1" applyBorder="1" applyFont="1" applyNumberFormat="1">
      <alignment horizontal="right"/>
    </xf>
    <xf borderId="7" fillId="0" fontId="1" numFmtId="164" xfId="0" applyAlignment="1" applyBorder="1" applyFont="1" applyNumberFormat="1">
      <alignment horizontal="right"/>
    </xf>
    <xf borderId="0" fillId="0" fontId="8" numFmtId="167" xfId="0" applyAlignment="1" applyFont="1" applyNumberFormat="1">
      <alignment horizontal="right" shrinkToFit="0" wrapText="1"/>
    </xf>
    <xf borderId="2" fillId="0" fontId="9" numFmtId="164" xfId="0" applyAlignment="1" applyBorder="1" applyFont="1" applyNumberFormat="1">
      <alignment horizontal="right"/>
    </xf>
    <xf borderId="2" fillId="0" fontId="6" numFmtId="166" xfId="0" applyAlignment="1" applyBorder="1" applyFont="1" applyNumberFormat="1">
      <alignment horizontal="right"/>
    </xf>
    <xf borderId="8" fillId="0" fontId="1" numFmtId="0" xfId="0" applyBorder="1" applyFont="1"/>
    <xf borderId="9" fillId="0" fontId="1" numFmtId="164" xfId="0" applyAlignment="1" applyBorder="1" applyFont="1" applyNumberFormat="1">
      <alignment horizontal="right"/>
    </xf>
    <xf borderId="4" fillId="0" fontId="10" numFmtId="166" xfId="0" applyAlignment="1" applyBorder="1" applyFont="1" applyNumberFormat="1">
      <alignment horizontal="right" shrinkToFit="0" wrapText="1"/>
    </xf>
    <xf borderId="0" fillId="0" fontId="6" numFmtId="0" xfId="0" applyAlignment="1" applyFont="1">
      <alignment horizontal="left" shrinkToFit="0" wrapText="1"/>
    </xf>
    <xf borderId="0" fillId="0" fontId="11" numFmtId="0" xfId="0" applyAlignment="1" applyFont="1">
      <alignment horizontal="center"/>
    </xf>
    <xf borderId="2" fillId="0" fontId="2" numFmtId="164" xfId="0" applyAlignment="1" applyBorder="1" applyFont="1" applyNumberFormat="1">
      <alignment horizontal="right"/>
    </xf>
    <xf borderId="10" fillId="0" fontId="6" numFmtId="164" xfId="0" applyAlignment="1" applyBorder="1" applyFont="1" applyNumberFormat="1">
      <alignment horizontal="right"/>
    </xf>
    <xf borderId="0" fillId="0" fontId="6" numFmtId="164" xfId="0" applyAlignment="1" applyFont="1" applyNumberFormat="1">
      <alignment horizontal="right"/>
    </xf>
    <xf borderId="11" fillId="0" fontId="6" numFmtId="164" xfId="0" applyAlignment="1" applyBorder="1" applyFont="1" applyNumberFormat="1">
      <alignment horizontal="right"/>
    </xf>
    <xf borderId="11" fillId="0" fontId="1" numFmtId="0" xfId="0" applyAlignment="1" applyBorder="1" applyFont="1">
      <alignment horizontal="left"/>
    </xf>
    <xf borderId="0" fillId="0" fontId="1" numFmtId="0" xfId="0" applyAlignment="1" applyFont="1">
      <alignment horizontal="center"/>
    </xf>
    <xf borderId="0" fillId="0" fontId="2" numFmtId="168" xfId="0" applyFont="1" applyNumberFormat="1"/>
    <xf borderId="2" fillId="0" fontId="6" numFmtId="168" xfId="0" applyAlignment="1" applyBorder="1" applyFont="1" applyNumberFormat="1">
      <alignment horizontal="right"/>
    </xf>
    <xf borderId="0" fillId="0" fontId="2" numFmtId="0" xfId="0" applyAlignment="1" applyFont="1">
      <alignment horizontal="left"/>
    </xf>
    <xf borderId="2" fillId="0" fontId="2" numFmtId="168" xfId="0" applyAlignment="1" applyBorder="1" applyFont="1" applyNumberFormat="1">
      <alignment horizontal="right"/>
    </xf>
    <xf borderId="2" fillId="0" fontId="12" numFmtId="168" xfId="0" applyAlignment="1" applyBorder="1" applyFont="1" applyNumberFormat="1">
      <alignment horizontal="right"/>
    </xf>
    <xf borderId="0" fillId="0" fontId="2" numFmtId="49" xfId="0" applyAlignment="1" applyFont="1" applyNumberFormat="1">
      <alignment horizontal="left"/>
    </xf>
    <xf borderId="0" fillId="0" fontId="1" numFmtId="164" xfId="0" applyAlignment="1" applyFont="1" applyNumberFormat="1">
      <alignment horizontal="right"/>
    </xf>
    <xf borderId="0" fillId="0" fontId="1" numFmtId="164" xfId="0" applyFont="1" applyNumberFormat="1"/>
    <xf borderId="0" fillId="0" fontId="1" numFmtId="0" xfId="0" applyAlignment="1" applyFont="1">
      <alignment horizontal="center" shrinkToFit="0" wrapText="1"/>
    </xf>
    <xf borderId="12" fillId="2" fontId="1" numFmtId="164" xfId="0" applyBorder="1" applyFont="1" applyNumberFormat="1"/>
    <xf borderId="13" fillId="0" fontId="2" numFmtId="0" xfId="0" applyBorder="1" applyFont="1"/>
    <xf borderId="0" fillId="0" fontId="6" numFmtId="38" xfId="0" applyFont="1" applyNumberFormat="1"/>
    <xf borderId="4" fillId="0" fontId="6" numFmtId="0" xfId="0" applyBorder="1" applyFont="1"/>
    <xf borderId="4" fillId="0" fontId="6" numFmtId="164" xfId="0" applyBorder="1" applyFont="1" applyNumberFormat="1"/>
    <xf borderId="0" fillId="0" fontId="6" numFmtId="164" xfId="0" applyFont="1" applyNumberFormat="1"/>
    <xf borderId="13" fillId="0" fontId="6" numFmtId="0" xfId="0" applyBorder="1" applyFont="1"/>
    <xf borderId="13" fillId="0" fontId="6" numFmtId="164" xfId="0" applyBorder="1" applyFont="1" applyNumberFormat="1"/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2" numFmtId="0" xfId="0" applyAlignment="1" applyFont="1">
      <alignment shrinkToFit="0" wrapText="1"/>
    </xf>
    <xf borderId="13" fillId="0" fontId="15" numFmtId="0" xfId="0" applyAlignment="1" applyBorder="1" applyFont="1">
      <alignment horizontal="center" shrinkToFit="0" wrapText="1"/>
    </xf>
    <xf borderId="13" fillId="0" fontId="16" numFmtId="0" xfId="0" applyBorder="1" applyFont="1"/>
    <xf borderId="0" fillId="0" fontId="10" numFmtId="0" xfId="0" applyAlignment="1" applyFont="1">
      <alignment horizontal="left" shrinkToFit="0" wrapText="1"/>
    </xf>
    <xf borderId="0" fillId="0" fontId="17" numFmtId="167" xfId="0" applyAlignment="1" applyFont="1" applyNumberFormat="1">
      <alignment shrinkToFit="0" wrapText="1"/>
    </xf>
    <xf borderId="0" fillId="0" fontId="10" numFmtId="0" xfId="0" applyAlignment="1" applyFont="1">
      <alignment horizontal="left"/>
    </xf>
    <xf borderId="0" fillId="0" fontId="17" numFmtId="167" xfId="0" applyAlignment="1" applyFont="1" applyNumberFormat="1">
      <alignment horizontal="right" shrinkToFit="0" wrapText="1"/>
    </xf>
    <xf borderId="0" fillId="0" fontId="17" numFmtId="0" xfId="0" applyAlignment="1" applyFont="1">
      <alignment horizontal="center"/>
    </xf>
    <xf borderId="0" fillId="0" fontId="14" numFmtId="17" xfId="0" applyAlignment="1" applyFont="1" applyNumberFormat="1">
      <alignment horizontal="center"/>
    </xf>
    <xf borderId="14" fillId="2" fontId="10" numFmtId="166" xfId="0" applyAlignment="1" applyBorder="1" applyFont="1" applyNumberFormat="1">
      <alignment horizontal="right" shrinkToFit="0" wrapText="1"/>
    </xf>
    <xf borderId="0" fillId="0" fontId="12" numFmtId="0" xfId="0" applyFont="1"/>
    <xf borderId="0" fillId="0" fontId="10" numFmtId="166" xfId="0" applyAlignment="1" applyFont="1" applyNumberFormat="1">
      <alignment horizontal="right" shrinkToFit="0" wrapText="1"/>
    </xf>
    <xf borderId="0" fillId="0" fontId="10" numFmtId="167" xfId="0" applyAlignment="1" applyFont="1" applyNumberFormat="1">
      <alignment horizontal="right" shrinkToFit="0" wrapText="1"/>
    </xf>
    <xf borderId="0" fillId="0" fontId="18" numFmtId="0" xfId="0" applyFont="1"/>
    <xf borderId="0" fillId="0" fontId="12" numFmtId="4" xfId="0" applyFont="1" applyNumberFormat="1"/>
    <xf borderId="12" fillId="3" fontId="12" numFmtId="0" xfId="0" applyBorder="1" applyFill="1" applyFont="1"/>
    <xf borderId="15" fillId="3" fontId="19" numFmtId="4" xfId="0" applyBorder="1" applyFont="1" applyNumberFormat="1"/>
    <xf borderId="0" fillId="0" fontId="15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 shrinkToFit="0" wrapText="1"/>
    </xf>
    <xf borderId="16" fillId="0" fontId="20" numFmtId="0" xfId="0" applyBorder="1" applyFont="1"/>
    <xf borderId="14" fillId="4" fontId="10" numFmtId="166" xfId="0" applyAlignment="1" applyBorder="1" applyFill="1" applyFont="1" applyNumberFormat="1">
      <alignment horizontal="right" shrinkToFit="0" wrapText="1"/>
    </xf>
    <xf borderId="17" fillId="0" fontId="17" numFmtId="167" xfId="0" applyAlignment="1" applyBorder="1" applyFont="1" applyNumberFormat="1">
      <alignment horizontal="right" shrinkToFit="0" wrapText="1"/>
    </xf>
    <xf borderId="12" fillId="4" fontId="17" numFmtId="167" xfId="0" applyAlignment="1" applyBorder="1" applyFont="1" applyNumberFormat="1">
      <alignment horizontal="right" shrinkToFit="0" wrapText="1"/>
    </xf>
    <xf borderId="12" fillId="4" fontId="10" numFmtId="0" xfId="0" applyAlignment="1" applyBorder="1" applyFont="1">
      <alignment horizontal="left"/>
    </xf>
    <xf borderId="0" fillId="0" fontId="17" numFmtId="4" xfId="0" applyAlignment="1" applyFont="1" applyNumberFormat="1">
      <alignment shrinkToFit="0" wrapText="1"/>
    </xf>
    <xf borderId="12" fillId="3" fontId="17" numFmtId="4" xfId="0" applyAlignment="1" applyBorder="1" applyFont="1" applyNumberFormat="1">
      <alignment shrinkToFit="0" wrapText="1"/>
    </xf>
    <xf borderId="17" fillId="0" fontId="10" numFmtId="167" xfId="0" applyAlignment="1" applyBorder="1" applyFont="1" applyNumberFormat="1">
      <alignment shrinkToFit="0" wrapText="1"/>
    </xf>
    <xf borderId="0" fillId="0" fontId="10" numFmtId="167" xfId="0" applyAlignment="1" applyFont="1" applyNumberFormat="1">
      <alignment shrinkToFit="0" wrapText="1"/>
    </xf>
    <xf borderId="13" fillId="0" fontId="12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00100" cy="228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800100" cy="2286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Owner/AppData/Local/Packages/microsoft.windowscommunicationsapps_8wekyb3d8bbwe/LocalState/Files/S0/4/Attachments/PresbyteryGeneva_FS_April%202023ed1%5b34053%5d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balance Sheet"/>
      <sheetName val="Summary Update updated"/>
      <sheetName val="PL Budget Mission &amp; Operations"/>
      <sheetName val="Camp YTD Budget"/>
      <sheetName val="class report"/>
      <sheetName val="Reserve Fund Summary"/>
      <sheetName val="Reserve Funds (Net Assets)"/>
      <sheetName val="New Covenant"/>
      <sheetName val="AR 2023"/>
      <sheetName val="details missions"/>
      <sheetName val="details operations"/>
      <sheetName val="dedicated details"/>
      <sheetName val="camp 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0"/>
    <col customWidth="1" min="3" max="3" width="13.29"/>
    <col customWidth="1" min="4" max="4" width="8.71"/>
    <col customWidth="1" min="5" max="5" width="14.0"/>
    <col customWidth="1" min="6" max="6" width="13.29"/>
    <col customWidth="1" min="7" max="26" width="8.71"/>
  </cols>
  <sheetData>
    <row r="1">
      <c r="A1" s="1" t="s">
        <v>0</v>
      </c>
      <c r="B1" s="1"/>
      <c r="C1" s="1"/>
      <c r="D1" s="1"/>
      <c r="E1" s="2"/>
      <c r="F1" s="2"/>
      <c r="G1" s="2"/>
      <c r="H1" s="2"/>
    </row>
    <row r="2">
      <c r="A2" s="1"/>
      <c r="B2" s="1"/>
      <c r="C2" s="1"/>
      <c r="D2" s="1"/>
      <c r="E2" s="2"/>
      <c r="F2" s="2"/>
      <c r="G2" s="2"/>
      <c r="H2" s="2"/>
    </row>
    <row r="3">
      <c r="A3" s="3" t="s">
        <v>1</v>
      </c>
      <c r="B3" s="4">
        <v>2023.0</v>
      </c>
      <c r="C3" s="4">
        <v>2023.0</v>
      </c>
      <c r="D3" s="5"/>
      <c r="E3" s="5" t="s">
        <v>2</v>
      </c>
      <c r="F3" s="5" t="s">
        <v>3</v>
      </c>
      <c r="G3" s="2"/>
      <c r="H3" s="2"/>
    </row>
    <row r="4">
      <c r="A4" s="6" t="s">
        <v>4</v>
      </c>
      <c r="B4" s="7"/>
      <c r="C4" s="7"/>
      <c r="D4" s="7"/>
      <c r="E4" s="7"/>
      <c r="F4" s="7"/>
      <c r="G4" s="2"/>
      <c r="H4" s="2"/>
    </row>
    <row r="5">
      <c r="A5" s="8"/>
      <c r="B5" s="9"/>
      <c r="C5" s="9"/>
      <c r="D5" s="9"/>
      <c r="E5" s="9"/>
      <c r="F5" s="9"/>
      <c r="G5" s="2"/>
      <c r="H5" s="2"/>
    </row>
    <row r="6">
      <c r="A6" s="1" t="s">
        <v>5</v>
      </c>
      <c r="B6" s="10"/>
      <c r="C6" s="10"/>
      <c r="D6" s="10"/>
      <c r="E6" s="10"/>
      <c r="F6" s="10"/>
      <c r="G6" s="2"/>
      <c r="H6" s="2"/>
    </row>
    <row r="7">
      <c r="A7" s="11" t="s">
        <v>6</v>
      </c>
      <c r="B7" s="9">
        <v>49919.48</v>
      </c>
      <c r="C7" s="9">
        <v>180350.0</v>
      </c>
      <c r="D7" s="9"/>
      <c r="E7" s="9">
        <v>46826.49</v>
      </c>
      <c r="F7" s="12">
        <v>197350.0</v>
      </c>
      <c r="G7" s="13">
        <f t="shared" ref="G7:G8" si="1">B7/C7</f>
        <v>0.2767922373</v>
      </c>
      <c r="H7" s="13">
        <f t="shared" ref="H7:H8" si="2">E7/F7</f>
        <v>0.2372763618</v>
      </c>
    </row>
    <row r="8">
      <c r="A8" s="11" t="s">
        <v>7</v>
      </c>
      <c r="B8" s="14">
        <v>43787.34</v>
      </c>
      <c r="C8" s="9">
        <v>159000.0</v>
      </c>
      <c r="D8" s="9"/>
      <c r="E8" s="15">
        <v>48237.54</v>
      </c>
      <c r="F8" s="9">
        <v>150000.0</v>
      </c>
      <c r="G8" s="13">
        <f t="shared" si="1"/>
        <v>0.2753920755</v>
      </c>
      <c r="H8" s="13">
        <f t="shared" si="2"/>
        <v>0.3215836</v>
      </c>
    </row>
    <row r="9">
      <c r="A9" s="11"/>
      <c r="B9" s="9"/>
      <c r="C9" s="9"/>
      <c r="D9" s="9"/>
      <c r="E9" s="9"/>
      <c r="F9" s="9"/>
      <c r="G9" s="2"/>
      <c r="H9" s="2"/>
    </row>
    <row r="10">
      <c r="A10" s="16" t="s">
        <v>8</v>
      </c>
      <c r="B10" s="9"/>
      <c r="C10" s="9"/>
      <c r="D10" s="9"/>
      <c r="E10" s="9"/>
      <c r="F10" s="9"/>
      <c r="G10" s="2"/>
      <c r="H10" s="2"/>
    </row>
    <row r="11">
      <c r="A11" s="11"/>
      <c r="B11" s="9"/>
      <c r="C11" s="9"/>
      <c r="D11" s="9"/>
      <c r="E11" s="9"/>
      <c r="F11" s="9"/>
      <c r="G11" s="2"/>
      <c r="H11" s="2"/>
    </row>
    <row r="12">
      <c r="A12" s="11" t="s">
        <v>9</v>
      </c>
      <c r="B12" s="9">
        <v>5005.11</v>
      </c>
      <c r="C12" s="9">
        <v>5100.0</v>
      </c>
      <c r="D12" s="9"/>
      <c r="E12" s="9">
        <v>53.55</v>
      </c>
      <c r="F12" s="9">
        <v>100.0</v>
      </c>
      <c r="G12" s="2"/>
      <c r="H12" s="2"/>
    </row>
    <row r="13">
      <c r="A13" s="11"/>
      <c r="B13" s="17"/>
      <c r="C13" s="18"/>
      <c r="D13" s="9"/>
      <c r="E13" s="17"/>
      <c r="F13" s="17"/>
      <c r="G13" s="2"/>
      <c r="H13" s="2"/>
    </row>
    <row r="14">
      <c r="A14" s="11" t="s">
        <v>8</v>
      </c>
      <c r="B14" s="9">
        <v>0.0</v>
      </c>
      <c r="C14" s="9">
        <f>SUM(C11:C13)</f>
        <v>5100</v>
      </c>
      <c r="D14" s="9"/>
      <c r="E14" s="9">
        <f t="shared" ref="E14:F14" si="3">SUM(E11:E13)</f>
        <v>53.55</v>
      </c>
      <c r="F14" s="9">
        <f t="shared" si="3"/>
        <v>100</v>
      </c>
      <c r="G14" s="2"/>
      <c r="H14" s="2"/>
    </row>
    <row r="15">
      <c r="A15" s="16" t="s">
        <v>10</v>
      </c>
      <c r="B15" s="19">
        <f>SUM(B7:B12)</f>
        <v>98711.93</v>
      </c>
      <c r="C15" s="19">
        <f>C7+C8+C14</f>
        <v>344450</v>
      </c>
      <c r="D15" s="19"/>
      <c r="E15" s="19">
        <f>SUM(E7:E12)</f>
        <v>95117.58</v>
      </c>
      <c r="F15" s="19">
        <f>F7+F8+F14</f>
        <v>347450</v>
      </c>
      <c r="G15" s="13">
        <f>B15/C15</f>
        <v>0.2865784003</v>
      </c>
      <c r="H15" s="13">
        <f>E15/F15</f>
        <v>0.2737590445</v>
      </c>
    </row>
    <row r="16">
      <c r="A16" s="2"/>
      <c r="B16" s="9"/>
      <c r="C16" s="9"/>
      <c r="D16" s="9"/>
      <c r="E16" s="9"/>
      <c r="F16" s="9"/>
      <c r="G16" s="2"/>
      <c r="H16" s="2"/>
    </row>
    <row r="17">
      <c r="A17" s="1" t="s">
        <v>11</v>
      </c>
      <c r="B17" s="10"/>
      <c r="C17" s="10"/>
      <c r="D17" s="10"/>
      <c r="E17" s="10"/>
      <c r="F17" s="10"/>
      <c r="G17" s="2"/>
      <c r="H17" s="2"/>
    </row>
    <row r="18">
      <c r="A18" s="8" t="s">
        <v>12</v>
      </c>
      <c r="B18" s="14">
        <v>52430.12</v>
      </c>
      <c r="C18" s="9">
        <v>179000.0</v>
      </c>
      <c r="D18" s="9"/>
      <c r="E18" s="20">
        <v>41047.3</v>
      </c>
      <c r="F18" s="9">
        <v>167000.0</v>
      </c>
      <c r="G18" s="2"/>
      <c r="H18" s="2"/>
    </row>
    <row r="19">
      <c r="A19" s="8" t="s">
        <v>13</v>
      </c>
      <c r="B19" s="18">
        <v>30000.0</v>
      </c>
      <c r="C19" s="9">
        <v>90000.0</v>
      </c>
      <c r="D19" s="9"/>
      <c r="E19" s="21">
        <v>30000.0</v>
      </c>
      <c r="F19" s="9">
        <v>90000.0</v>
      </c>
      <c r="G19" s="2"/>
      <c r="H19" s="2"/>
    </row>
    <row r="20">
      <c r="A20" s="8"/>
      <c r="B20" s="2"/>
      <c r="C20" s="2"/>
      <c r="D20" s="9"/>
      <c r="E20" s="9"/>
      <c r="F20" s="9"/>
      <c r="G20" s="2"/>
      <c r="H20" s="2"/>
    </row>
    <row r="21" ht="15.75" customHeight="1">
      <c r="A21" s="8" t="s">
        <v>14</v>
      </c>
      <c r="B21" s="14">
        <v>47728.95</v>
      </c>
      <c r="C21" s="17">
        <v>76186.4</v>
      </c>
      <c r="D21" s="17"/>
      <c r="E21" s="17">
        <v>14680.17</v>
      </c>
      <c r="F21" s="17">
        <v>62088.4</v>
      </c>
      <c r="G21" s="2"/>
      <c r="H21" s="2"/>
    </row>
    <row r="22" ht="15.75" customHeight="1">
      <c r="A22" s="16" t="s">
        <v>15</v>
      </c>
      <c r="B22" s="22">
        <f>SUM(B17:B21)</f>
        <v>130159.07</v>
      </c>
      <c r="C22" s="10">
        <f>SUM(C18:C21)</f>
        <v>345186.4</v>
      </c>
      <c r="D22" s="10"/>
      <c r="E22" s="10">
        <f>SUM(E17:E21)</f>
        <v>85727.47</v>
      </c>
      <c r="F22" s="10">
        <f>SUM(F18:F21)</f>
        <v>319088.4</v>
      </c>
      <c r="G22" s="13">
        <f>B22/C22</f>
        <v>0.3770689401</v>
      </c>
      <c r="H22" s="13">
        <f>E22/F22</f>
        <v>0.2686636995</v>
      </c>
    </row>
    <row r="23" ht="15.75" customHeight="1">
      <c r="A23" s="16"/>
      <c r="B23" s="10"/>
      <c r="C23" s="10"/>
      <c r="D23" s="10"/>
      <c r="E23" s="10"/>
      <c r="F23" s="10"/>
      <c r="G23" s="2"/>
      <c r="H23" s="2"/>
    </row>
    <row r="24" ht="15.75" customHeight="1">
      <c r="A24" s="23" t="s">
        <v>16</v>
      </c>
      <c r="B24" s="24">
        <f t="shared" ref="B24:C24" si="4">B15+B22</f>
        <v>228871</v>
      </c>
      <c r="C24" s="24">
        <f t="shared" si="4"/>
        <v>689636.4</v>
      </c>
      <c r="D24" s="24"/>
      <c r="E24" s="24">
        <f t="shared" ref="E24:F24" si="5">E15+E22</f>
        <v>180845.05</v>
      </c>
      <c r="F24" s="24">
        <f t="shared" si="5"/>
        <v>666538.4</v>
      </c>
      <c r="G24" s="13">
        <f>B24/C24</f>
        <v>0.3318719836</v>
      </c>
      <c r="H24" s="13">
        <f>E24/F24</f>
        <v>0.2713197769</v>
      </c>
    </row>
    <row r="25" ht="15.75" customHeight="1">
      <c r="A25" s="8"/>
      <c r="B25" s="9"/>
      <c r="C25" s="9"/>
      <c r="D25" s="9"/>
      <c r="E25" s="9"/>
      <c r="F25" s="9"/>
      <c r="G25" s="2"/>
      <c r="H25" s="2"/>
    </row>
    <row r="26" ht="15.75" customHeight="1">
      <c r="A26" s="6" t="s">
        <v>17</v>
      </c>
      <c r="B26" s="7"/>
      <c r="C26" s="7"/>
      <c r="D26" s="7"/>
      <c r="E26" s="7"/>
      <c r="F26" s="7"/>
      <c r="G26" s="2"/>
      <c r="H26" s="2"/>
    </row>
    <row r="27" ht="15.75" customHeight="1">
      <c r="A27" s="8"/>
      <c r="B27" s="9"/>
      <c r="C27" s="9"/>
      <c r="D27" s="9"/>
      <c r="E27" s="9"/>
      <c r="F27" s="9"/>
      <c r="G27" s="2"/>
      <c r="H27" s="2"/>
    </row>
    <row r="28" ht="15.75" customHeight="1">
      <c r="A28" s="16" t="s">
        <v>18</v>
      </c>
      <c r="B28" s="9"/>
      <c r="C28" s="9"/>
      <c r="D28" s="9"/>
      <c r="E28" s="9"/>
      <c r="F28" s="9"/>
      <c r="G28" s="2"/>
      <c r="H28" s="2"/>
    </row>
    <row r="29" ht="15.75" customHeight="1">
      <c r="A29" s="11" t="s">
        <v>19</v>
      </c>
      <c r="B29" s="25">
        <v>45528.87</v>
      </c>
      <c r="C29" s="9">
        <v>134223.29</v>
      </c>
      <c r="D29" s="9"/>
      <c r="E29" s="21">
        <v>14465.25</v>
      </c>
      <c r="F29" s="9">
        <v>116271.49</v>
      </c>
      <c r="G29" s="2"/>
      <c r="H29" s="2"/>
    </row>
    <row r="30" ht="15.75" customHeight="1">
      <c r="A30" s="11" t="s">
        <v>20</v>
      </c>
      <c r="B30" s="9">
        <v>30000.0</v>
      </c>
      <c r="C30" s="9">
        <v>90000.0</v>
      </c>
      <c r="D30" s="9"/>
      <c r="E30" s="21">
        <v>30000.0</v>
      </c>
      <c r="F30" s="9">
        <v>90000.0</v>
      </c>
      <c r="G30" s="2"/>
      <c r="H30" s="2"/>
    </row>
    <row r="31" ht="15.75" customHeight="1">
      <c r="A31" s="26"/>
      <c r="B31" s="9"/>
      <c r="C31" s="9"/>
      <c r="D31" s="9"/>
      <c r="E31" s="9"/>
      <c r="F31" s="9"/>
      <c r="G31" s="2"/>
      <c r="H31" s="27"/>
    </row>
    <row r="32" ht="15.75" customHeight="1">
      <c r="A32" s="2"/>
      <c r="B32" s="28"/>
      <c r="C32" s="28"/>
      <c r="D32" s="9"/>
      <c r="E32" s="28"/>
      <c r="F32" s="28"/>
      <c r="G32" s="2"/>
      <c r="H32" s="2"/>
    </row>
    <row r="33" ht="15.75" customHeight="1">
      <c r="A33" s="11" t="s">
        <v>21</v>
      </c>
      <c r="B33" s="29"/>
      <c r="C33" s="30">
        <v>69000.0</v>
      </c>
      <c r="D33" s="31"/>
      <c r="E33" s="29">
        <v>250.0</v>
      </c>
      <c r="F33" s="30">
        <v>149000.0</v>
      </c>
      <c r="G33" s="2"/>
      <c r="H33" s="2"/>
    </row>
    <row r="34" ht="15.75" customHeight="1">
      <c r="A34" s="11" t="s">
        <v>22</v>
      </c>
      <c r="B34" s="29">
        <v>44108.22</v>
      </c>
      <c r="C34" s="29">
        <v>90087.61</v>
      </c>
      <c r="D34" s="29"/>
      <c r="E34" s="29">
        <v>22491.74</v>
      </c>
      <c r="F34" s="29">
        <v>0.0</v>
      </c>
      <c r="G34" s="2"/>
      <c r="H34" s="2"/>
    </row>
    <row r="35" ht="15.75" customHeight="1">
      <c r="A35" s="32" t="s">
        <v>23</v>
      </c>
      <c r="B35" s="19">
        <f t="shared" ref="B35:C35" si="6">SUM(B29:B34)</f>
        <v>119637.09</v>
      </c>
      <c r="C35" s="19">
        <f t="shared" si="6"/>
        <v>383310.9</v>
      </c>
      <c r="D35" s="19"/>
      <c r="E35" s="19">
        <f t="shared" ref="E35:F35" si="7">SUM(E29:E34)</f>
        <v>67206.99</v>
      </c>
      <c r="F35" s="19">
        <f t="shared" si="7"/>
        <v>355271.49</v>
      </c>
      <c r="G35" s="13">
        <f>B35/C35</f>
        <v>0.312115022</v>
      </c>
      <c r="H35" s="13">
        <f>E35/F35</f>
        <v>0.1891707944</v>
      </c>
    </row>
    <row r="36" ht="15.75" customHeight="1">
      <c r="A36" s="33"/>
      <c r="B36" s="10"/>
      <c r="C36" s="10"/>
      <c r="D36" s="10"/>
      <c r="E36" s="10"/>
      <c r="F36" s="10"/>
      <c r="G36" s="2"/>
      <c r="H36" s="2"/>
    </row>
    <row r="37" ht="15.75" customHeight="1">
      <c r="A37" s="16" t="s">
        <v>24</v>
      </c>
      <c r="B37" s="10"/>
      <c r="C37" s="10"/>
      <c r="D37" s="10"/>
      <c r="E37" s="10"/>
      <c r="F37" s="10"/>
      <c r="G37" s="2"/>
      <c r="H37" s="2"/>
    </row>
    <row r="38" ht="15.75" customHeight="1">
      <c r="A38" s="11" t="s">
        <v>25</v>
      </c>
      <c r="B38" s="9">
        <v>31840.99</v>
      </c>
      <c r="C38" s="34">
        <v>131880.0</v>
      </c>
      <c r="D38" s="9"/>
      <c r="E38" s="9">
        <v>33594.19</v>
      </c>
      <c r="F38" s="34">
        <v>128000.0</v>
      </c>
      <c r="G38" s="2"/>
      <c r="H38" s="2"/>
    </row>
    <row r="39" ht="15.75" customHeight="1">
      <c r="A39" s="11" t="s">
        <v>26</v>
      </c>
      <c r="B39" s="9">
        <v>3783.89</v>
      </c>
      <c r="C39" s="35">
        <v>64700.0</v>
      </c>
      <c r="D39" s="9"/>
      <c r="E39" s="9">
        <v>2715.2</v>
      </c>
      <c r="F39" s="35">
        <v>87880.0</v>
      </c>
      <c r="G39" s="2"/>
      <c r="H39" s="2"/>
    </row>
    <row r="40" ht="15.75" customHeight="1">
      <c r="A40" s="11" t="s">
        <v>27</v>
      </c>
      <c r="B40" s="9">
        <v>8434.48</v>
      </c>
      <c r="C40" s="35">
        <v>24056.4</v>
      </c>
      <c r="D40" s="9"/>
      <c r="E40" s="9">
        <v>4195.34</v>
      </c>
      <c r="F40" s="35">
        <v>28108.4</v>
      </c>
      <c r="G40" s="2"/>
      <c r="H40" s="2"/>
    </row>
    <row r="41" ht="15.75" customHeight="1">
      <c r="A41" s="11" t="s">
        <v>28</v>
      </c>
      <c r="B41" s="9"/>
      <c r="C41" s="35">
        <v>34900.0</v>
      </c>
      <c r="D41" s="9"/>
      <c r="E41" s="9"/>
      <c r="F41" s="35"/>
      <c r="G41" s="2"/>
      <c r="H41" s="2"/>
    </row>
    <row r="42" ht="15.75" customHeight="1">
      <c r="A42" s="36" t="s">
        <v>29</v>
      </c>
      <c r="B42" s="25">
        <v>10559.83</v>
      </c>
      <c r="C42" s="37">
        <v>48350.0</v>
      </c>
      <c r="D42" s="28"/>
      <c r="E42" s="28">
        <v>9017.79</v>
      </c>
      <c r="F42" s="38">
        <v>39100.0</v>
      </c>
      <c r="G42" s="2"/>
      <c r="H42" s="2"/>
    </row>
    <row r="43" ht="15.75" customHeight="1">
      <c r="A43" s="39" t="s">
        <v>30</v>
      </c>
      <c r="B43" s="28">
        <v>7134.76</v>
      </c>
      <c r="C43" s="37">
        <v>41300.0</v>
      </c>
      <c r="D43" s="28"/>
      <c r="E43" s="28">
        <v>7335.58</v>
      </c>
      <c r="F43" s="38">
        <v>36000.0</v>
      </c>
      <c r="G43" s="2"/>
      <c r="H43" s="2"/>
    </row>
    <row r="44" ht="15.75" customHeight="1">
      <c r="A44" s="32" t="s">
        <v>31</v>
      </c>
      <c r="B44" s="19">
        <f t="shared" ref="B44:C44" si="8">SUM(B38:B43)</f>
        <v>61753.95</v>
      </c>
      <c r="C44" s="19">
        <f t="shared" si="8"/>
        <v>345186.4</v>
      </c>
      <c r="D44" s="19"/>
      <c r="E44" s="19">
        <f t="shared" ref="E44:F44" si="9">SUM(E38:E43)</f>
        <v>56858.1</v>
      </c>
      <c r="F44" s="19">
        <f t="shared" si="9"/>
        <v>319088.4</v>
      </c>
      <c r="G44" s="13">
        <f>B44/C44</f>
        <v>0.1789002985</v>
      </c>
      <c r="H44" s="13">
        <f>E44/F44</f>
        <v>0.1781891789</v>
      </c>
    </row>
    <row r="45" ht="15.75" customHeight="1">
      <c r="A45" s="32"/>
      <c r="B45" s="10"/>
      <c r="C45" s="10"/>
      <c r="D45" s="10"/>
      <c r="E45" s="10"/>
      <c r="F45" s="10"/>
      <c r="G45" s="2"/>
      <c r="H45" s="2"/>
    </row>
    <row r="46" ht="15.75" customHeight="1">
      <c r="A46" s="32"/>
      <c r="B46" s="10"/>
      <c r="C46" s="10"/>
      <c r="D46" s="10"/>
      <c r="E46" s="10"/>
      <c r="F46" s="10"/>
      <c r="G46" s="2"/>
      <c r="H46" s="2"/>
    </row>
    <row r="47" ht="15.75" customHeight="1">
      <c r="A47" s="33"/>
      <c r="B47" s="10"/>
      <c r="C47" s="10"/>
      <c r="D47" s="10"/>
      <c r="E47" s="10"/>
      <c r="F47" s="10"/>
      <c r="G47" s="2"/>
      <c r="H47" s="2"/>
    </row>
    <row r="48" ht="15.75" customHeight="1">
      <c r="A48" s="23" t="s">
        <v>32</v>
      </c>
      <c r="B48" s="24">
        <f>B35+B44</f>
        <v>181391.04</v>
      </c>
      <c r="C48" s="24">
        <f>C35+C44+C46</f>
        <v>728497.3</v>
      </c>
      <c r="D48" s="24"/>
      <c r="E48" s="24">
        <f>E35+E44</f>
        <v>124065.09</v>
      </c>
      <c r="F48" s="24">
        <f>F35+F44+F46</f>
        <v>674359.89</v>
      </c>
      <c r="G48" s="13">
        <f>B48/C48</f>
        <v>0.248993428</v>
      </c>
      <c r="H48" s="13">
        <f>E48/F48</f>
        <v>0.1839745985</v>
      </c>
    </row>
    <row r="49" ht="15.75" customHeight="1">
      <c r="A49" s="32"/>
      <c r="B49" s="10"/>
      <c r="C49" s="10"/>
      <c r="D49" s="10"/>
      <c r="E49" s="10"/>
      <c r="F49" s="10"/>
      <c r="G49" s="2"/>
      <c r="H49" s="2"/>
    </row>
    <row r="50" ht="15.75" customHeight="1">
      <c r="A50" s="32" t="s">
        <v>33</v>
      </c>
      <c r="B50" s="10">
        <f t="shared" ref="B50:C50" si="10">B24-B48</f>
        <v>47479.96</v>
      </c>
      <c r="C50" s="10">
        <f t="shared" si="10"/>
        <v>-38860.9</v>
      </c>
      <c r="D50" s="10"/>
      <c r="E50" s="10">
        <f>E24-E48</f>
        <v>56779.96</v>
      </c>
      <c r="F50" s="10">
        <v>0.0</v>
      </c>
      <c r="G50" s="2"/>
      <c r="H50" s="2"/>
    </row>
    <row r="51" ht="15.75" customHeight="1">
      <c r="A51" s="16"/>
      <c r="B51" s="40"/>
      <c r="C51" s="40"/>
      <c r="D51" s="40"/>
      <c r="E51" s="40"/>
      <c r="F51" s="40"/>
      <c r="G51" s="2"/>
      <c r="H51" s="2"/>
    </row>
    <row r="52" ht="15.75" customHeight="1">
      <c r="A52" s="1" t="s">
        <v>34</v>
      </c>
      <c r="B52" s="41">
        <v>33370.46</v>
      </c>
      <c r="C52" s="41"/>
      <c r="D52" s="41"/>
      <c r="E52" s="41">
        <v>-115910.31</v>
      </c>
      <c r="F52" s="41"/>
      <c r="G52" s="2"/>
      <c r="H52" s="2"/>
    </row>
    <row r="53" ht="15.75" customHeight="1">
      <c r="A53" s="1" t="s">
        <v>35</v>
      </c>
      <c r="B53" s="41">
        <v>6462.16</v>
      </c>
      <c r="C53" s="41"/>
      <c r="D53" s="41"/>
      <c r="E53" s="41"/>
      <c r="F53" s="41"/>
      <c r="G53" s="2"/>
      <c r="H53" s="2"/>
    </row>
    <row r="54" ht="15.75" customHeight="1">
      <c r="A54" s="1" t="s">
        <v>36</v>
      </c>
      <c r="B54" s="41"/>
      <c r="C54" s="41"/>
      <c r="D54" s="41"/>
      <c r="E54" s="41"/>
      <c r="F54" s="41"/>
      <c r="G54" s="2"/>
      <c r="H54" s="2"/>
    </row>
    <row r="55" ht="15.75" customHeight="1">
      <c r="A55" s="1" t="s">
        <v>37</v>
      </c>
      <c r="B55" s="41">
        <v>0.0</v>
      </c>
      <c r="C55" s="41"/>
      <c r="D55" s="41"/>
      <c r="E55" s="41">
        <v>-7695.51</v>
      </c>
      <c r="F55" s="41"/>
      <c r="G55" s="2"/>
      <c r="H55" s="2"/>
    </row>
    <row r="56" ht="15.75" customHeight="1">
      <c r="A56" s="1" t="s">
        <v>38</v>
      </c>
      <c r="B56" s="41" t="str">
        <f>'[1]Camp YTD Budget'!B181</f>
        <v>#REF!</v>
      </c>
      <c r="C56" s="41"/>
      <c r="D56" s="41"/>
      <c r="E56" s="41"/>
      <c r="F56" s="41"/>
      <c r="G56" s="2"/>
      <c r="H56" s="2"/>
    </row>
    <row r="57" ht="15.75" customHeight="1">
      <c r="A57" s="1" t="s">
        <v>39</v>
      </c>
      <c r="B57" s="41">
        <v>0.0</v>
      </c>
      <c r="C57" s="41"/>
      <c r="D57" s="41"/>
      <c r="E57" s="41"/>
      <c r="F57" s="41"/>
      <c r="G57" s="2"/>
      <c r="H57" s="2"/>
    </row>
    <row r="58" ht="15.75" customHeight="1">
      <c r="A58" s="42" t="s">
        <v>40</v>
      </c>
      <c r="B58" s="43" t="str">
        <f>SUM(B50:B57)</f>
        <v>#REF!</v>
      </c>
      <c r="C58" s="41"/>
      <c r="D58" s="41"/>
      <c r="E58" s="41">
        <f>SUM(E49:E57)</f>
        <v>-66825.86</v>
      </c>
      <c r="F58" s="41"/>
      <c r="G58" s="2"/>
      <c r="H58" s="2"/>
    </row>
    <row r="59" ht="15.75" customHeight="1">
      <c r="A59" s="2"/>
      <c r="B59" s="2"/>
      <c r="C59" s="2"/>
      <c r="D59" s="2"/>
      <c r="E59" s="2"/>
      <c r="F59" s="2"/>
      <c r="G59" s="2"/>
      <c r="H59" s="2"/>
    </row>
    <row r="60" ht="15.75" customHeight="1">
      <c r="A60" s="8" t="s">
        <v>41</v>
      </c>
      <c r="B60" s="44"/>
      <c r="C60" s="45">
        <v>4193.0</v>
      </c>
      <c r="D60" s="45"/>
      <c r="E60" s="45"/>
      <c r="F60" s="45">
        <v>4586.0</v>
      </c>
      <c r="G60" s="2"/>
      <c r="H60" s="2"/>
    </row>
    <row r="61" ht="15.75" customHeight="1">
      <c r="A61" s="46" t="s">
        <v>42</v>
      </c>
      <c r="B61" s="2"/>
      <c r="C61" s="47">
        <v>36.92</v>
      </c>
      <c r="D61" s="47"/>
      <c r="E61" s="47"/>
      <c r="F61" s="47">
        <v>36.95</v>
      </c>
      <c r="G61" s="2"/>
      <c r="H61" s="2"/>
    </row>
    <row r="62" ht="15.75" customHeight="1">
      <c r="A62" s="8" t="s">
        <v>43</v>
      </c>
      <c r="B62" s="2"/>
      <c r="C62" s="48">
        <v>4.1</v>
      </c>
      <c r="D62" s="48"/>
      <c r="E62" s="48"/>
      <c r="F62" s="48">
        <v>4.1</v>
      </c>
      <c r="G62" s="2"/>
      <c r="H62" s="2"/>
    </row>
    <row r="63" ht="15.75" customHeight="1">
      <c r="A63" s="49" t="s">
        <v>44</v>
      </c>
      <c r="B63" s="44"/>
      <c r="C63" s="50">
        <v>8.98</v>
      </c>
      <c r="D63" s="50"/>
      <c r="E63" s="50"/>
      <c r="F63" s="50">
        <v>8.95</v>
      </c>
      <c r="G63" s="2"/>
      <c r="H63" s="2"/>
    </row>
    <row r="64" ht="15.75" customHeight="1">
      <c r="A64" s="8" t="s">
        <v>45</v>
      </c>
      <c r="B64" s="2"/>
      <c r="C64" s="48">
        <f>SUM(C61:C63)</f>
        <v>50</v>
      </c>
      <c r="D64" s="48"/>
      <c r="E64" s="48"/>
      <c r="F64" s="48">
        <f>SUM(F61:F63)</f>
        <v>50</v>
      </c>
      <c r="G64" s="2"/>
      <c r="H64" s="2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71"/>
    <col customWidth="1" min="3" max="3" width="8.71"/>
    <col customWidth="1" min="4" max="4" width="11.71"/>
    <col customWidth="1" min="5" max="26" width="8.71"/>
  </cols>
  <sheetData>
    <row r="1">
      <c r="A1" s="51" t="s">
        <v>46</v>
      </c>
    </row>
    <row r="2">
      <c r="A2" s="51" t="s">
        <v>47</v>
      </c>
    </row>
    <row r="3">
      <c r="A3" s="52" t="s">
        <v>48</v>
      </c>
    </row>
    <row r="5">
      <c r="A5" s="53"/>
      <c r="B5" s="54" t="s">
        <v>49</v>
      </c>
      <c r="C5" s="55"/>
      <c r="D5" s="55"/>
    </row>
    <row r="6">
      <c r="A6" s="53"/>
      <c r="B6" s="54" t="s">
        <v>50</v>
      </c>
      <c r="C6" s="54"/>
      <c r="D6" s="54" t="s">
        <v>51</v>
      </c>
    </row>
    <row r="7">
      <c r="A7" s="56" t="s">
        <v>52</v>
      </c>
      <c r="B7" s="57"/>
      <c r="C7" s="57"/>
      <c r="D7" s="57"/>
    </row>
    <row r="8">
      <c r="A8" s="58" t="s">
        <v>53</v>
      </c>
      <c r="B8" s="57"/>
      <c r="C8" s="57"/>
      <c r="D8" s="57"/>
    </row>
    <row r="9">
      <c r="A9" s="58" t="s">
        <v>54</v>
      </c>
      <c r="B9" s="57"/>
      <c r="C9" s="57"/>
      <c r="D9" s="57"/>
    </row>
    <row r="10">
      <c r="A10" s="58" t="s">
        <v>55</v>
      </c>
      <c r="B10" s="59">
        <f>196120.95</f>
        <v>196120.95</v>
      </c>
      <c r="C10" s="59"/>
      <c r="D10" s="59">
        <v>272056.19</v>
      </c>
    </row>
    <row r="11">
      <c r="A11" s="58" t="s">
        <v>56</v>
      </c>
      <c r="B11" s="59">
        <f>0</f>
        <v>0</v>
      </c>
      <c r="C11" s="59"/>
      <c r="D11" s="59">
        <f>0</f>
        <v>0</v>
      </c>
    </row>
    <row r="12">
      <c r="A12" s="58" t="s">
        <v>57</v>
      </c>
      <c r="B12" s="59">
        <f>77808.59</f>
        <v>77808.59</v>
      </c>
      <c r="C12" s="59"/>
      <c r="D12" s="59">
        <f>77793.03</f>
        <v>77793.03</v>
      </c>
    </row>
    <row r="13">
      <c r="A13" s="58" t="s">
        <v>58</v>
      </c>
      <c r="B13" s="59">
        <f>0</f>
        <v>0</v>
      </c>
      <c r="C13" s="59"/>
      <c r="D13" s="59">
        <f>0</f>
        <v>0</v>
      </c>
    </row>
    <row r="14">
      <c r="A14" s="58" t="s">
        <v>59</v>
      </c>
      <c r="B14" s="59">
        <f>131890.41</f>
        <v>131890.41</v>
      </c>
      <c r="C14" s="59"/>
      <c r="D14" s="59">
        <f>130827.33</f>
        <v>130827.33</v>
      </c>
    </row>
    <row r="15">
      <c r="A15" s="58" t="s">
        <v>60</v>
      </c>
      <c r="B15" s="59">
        <f>159110.62</f>
        <v>159110.62</v>
      </c>
      <c r="C15" s="59"/>
      <c r="D15" s="59">
        <f>188536.1</f>
        <v>188536.1</v>
      </c>
    </row>
    <row r="16">
      <c r="A16" s="58" t="s">
        <v>61</v>
      </c>
      <c r="B16" s="59">
        <f t="shared" ref="B16:B18" si="1">0</f>
        <v>0</v>
      </c>
      <c r="C16" s="59"/>
      <c r="D16" s="59">
        <f t="shared" ref="D16:D18" si="2">0</f>
        <v>0</v>
      </c>
    </row>
    <row r="17">
      <c r="A17" s="58" t="s">
        <v>62</v>
      </c>
      <c r="B17" s="59">
        <f t="shared" si="1"/>
        <v>0</v>
      </c>
      <c r="C17" s="59"/>
      <c r="D17" s="59">
        <f t="shared" si="2"/>
        <v>0</v>
      </c>
    </row>
    <row r="18">
      <c r="A18" s="58" t="s">
        <v>63</v>
      </c>
      <c r="B18" s="59">
        <f t="shared" si="1"/>
        <v>0</v>
      </c>
      <c r="C18" s="59"/>
      <c r="D18" s="59">
        <f t="shared" si="2"/>
        <v>0</v>
      </c>
    </row>
    <row r="19">
      <c r="A19" s="58" t="s">
        <v>64</v>
      </c>
      <c r="B19" s="57"/>
      <c r="C19" s="57"/>
      <c r="D19" s="57"/>
    </row>
    <row r="20">
      <c r="A20" s="58" t="s">
        <v>65</v>
      </c>
      <c r="B20" s="59">
        <f>20</f>
        <v>20</v>
      </c>
      <c r="C20" s="59"/>
      <c r="D20" s="59">
        <v>9.59</v>
      </c>
    </row>
    <row r="21" ht="15.75" customHeight="1">
      <c r="A21" s="58" t="s">
        <v>66</v>
      </c>
      <c r="B21" s="25">
        <f>(B19)+(B20)</f>
        <v>20</v>
      </c>
      <c r="C21" s="25"/>
      <c r="D21" s="25">
        <f>(D19)+(D20)</f>
        <v>9.59</v>
      </c>
    </row>
    <row r="22" ht="15.75" customHeight="1">
      <c r="A22" s="58" t="s">
        <v>67</v>
      </c>
      <c r="B22" s="25">
        <f>(((((((((B10)+(B11))+(B12))+(B13))+(B14))+(B15))+(B16))+(B17))+(B18))+(B21)</f>
        <v>564950.57</v>
      </c>
      <c r="C22" s="25"/>
      <c r="D22" s="25">
        <f>(((((((((D10)+(D11))+(D12))+(D13))+(D14))+(D15))+(D16))+(D17))+(D18))+(D21)</f>
        <v>669222.24</v>
      </c>
    </row>
    <row r="23" ht="15.75" customHeight="1">
      <c r="A23" s="58" t="s">
        <v>68</v>
      </c>
      <c r="B23" s="57"/>
      <c r="C23" s="57"/>
      <c r="D23" s="57"/>
    </row>
    <row r="24" ht="15.75" customHeight="1">
      <c r="A24" s="58" t="s">
        <v>69</v>
      </c>
      <c r="B24" s="59">
        <f>256313.16</f>
        <v>256313.16</v>
      </c>
      <c r="C24" s="59"/>
      <c r="D24" s="59">
        <v>277369.47</v>
      </c>
    </row>
    <row r="25" ht="15.75" customHeight="1">
      <c r="A25" s="58" t="s">
        <v>70</v>
      </c>
      <c r="B25" s="59">
        <f>-256313.16</f>
        <v>-256313.16</v>
      </c>
      <c r="C25" s="59"/>
      <c r="D25" s="59">
        <f>-277369.47</f>
        <v>-277369.47</v>
      </c>
    </row>
    <row r="26" ht="15.75" customHeight="1">
      <c r="A26" s="58" t="s">
        <v>71</v>
      </c>
      <c r="B26" s="25">
        <f>(B24)+(B25)</f>
        <v>0</v>
      </c>
      <c r="C26" s="25"/>
      <c r="D26" s="25">
        <f>(D24)+(D25)</f>
        <v>0</v>
      </c>
    </row>
    <row r="27" ht="15.75" customHeight="1">
      <c r="A27" s="58" t="s">
        <v>72</v>
      </c>
      <c r="B27" s="57"/>
      <c r="C27" s="57"/>
      <c r="D27" s="57"/>
    </row>
    <row r="28" ht="15.75" customHeight="1">
      <c r="A28" s="58" t="s">
        <v>73</v>
      </c>
      <c r="B28" s="59">
        <f>12935</f>
        <v>12935</v>
      </c>
      <c r="C28" s="59"/>
      <c r="D28" s="59">
        <f t="shared" ref="D28:D29" si="3">0</f>
        <v>0</v>
      </c>
    </row>
    <row r="29" ht="15.75" customHeight="1">
      <c r="A29" s="58" t="s">
        <v>74</v>
      </c>
      <c r="B29" s="59">
        <f>0</f>
        <v>0</v>
      </c>
      <c r="C29" s="59"/>
      <c r="D29" s="59">
        <f t="shared" si="3"/>
        <v>0</v>
      </c>
    </row>
    <row r="30" ht="15.75" customHeight="1">
      <c r="A30" s="58" t="s">
        <v>75</v>
      </c>
      <c r="B30" s="59">
        <f>2723.66</f>
        <v>2723.66</v>
      </c>
      <c r="C30" s="59"/>
      <c r="D30" s="59">
        <f>1455.6</f>
        <v>1455.6</v>
      </c>
    </row>
    <row r="31" ht="15.75" customHeight="1">
      <c r="A31" s="58" t="s">
        <v>76</v>
      </c>
      <c r="B31" s="59">
        <f>0</f>
        <v>0</v>
      </c>
      <c r="C31" s="59"/>
      <c r="D31" s="59">
        <f>0</f>
        <v>0</v>
      </c>
    </row>
    <row r="32" ht="15.75" customHeight="1">
      <c r="A32" s="58" t="s">
        <v>77</v>
      </c>
      <c r="B32" s="59">
        <f>98.56</f>
        <v>98.56</v>
      </c>
      <c r="C32" s="59"/>
      <c r="D32" s="57"/>
    </row>
    <row r="33" ht="15.75" customHeight="1">
      <c r="A33" s="58" t="s">
        <v>78</v>
      </c>
      <c r="B33" s="25">
        <f>((((B28)+(B29))+(B30))+(B31))+(B32)</f>
        <v>15757.22</v>
      </c>
      <c r="C33" s="25"/>
      <c r="D33" s="25">
        <f>((((D28)+(D29))+(D30))+(D31))+(D32)</f>
        <v>1455.6</v>
      </c>
    </row>
    <row r="34" ht="15.75" customHeight="1">
      <c r="A34" s="58" t="s">
        <v>79</v>
      </c>
      <c r="B34" s="25">
        <f>((B22)+(B26))+(B33)</f>
        <v>580707.79</v>
      </c>
      <c r="C34" s="25"/>
      <c r="D34" s="25">
        <f>((D22)+(D26))+(D33)</f>
        <v>670677.84</v>
      </c>
    </row>
    <row r="35" ht="15.75" customHeight="1">
      <c r="A35" s="58" t="s">
        <v>80</v>
      </c>
      <c r="B35" s="57"/>
      <c r="C35" s="57"/>
      <c r="D35" s="57"/>
    </row>
    <row r="36" ht="15.75" customHeight="1">
      <c r="A36" s="58" t="s">
        <v>81</v>
      </c>
      <c r="B36" s="57"/>
      <c r="C36" s="57"/>
      <c r="D36" s="57"/>
    </row>
    <row r="37" ht="15.75" customHeight="1">
      <c r="A37" s="58" t="s">
        <v>82</v>
      </c>
      <c r="B37" s="57"/>
      <c r="C37" s="57"/>
      <c r="D37" s="57"/>
    </row>
    <row r="38" ht="15.75" customHeight="1">
      <c r="A38" s="58" t="s">
        <v>83</v>
      </c>
      <c r="B38" s="59">
        <f t="shared" ref="B38:B41" si="4">0</f>
        <v>0</v>
      </c>
      <c r="C38" s="59"/>
      <c r="D38" s="59">
        <f t="shared" ref="D38:D41" si="5">0</f>
        <v>0</v>
      </c>
    </row>
    <row r="39" ht="15.75" customHeight="1">
      <c r="A39" s="58" t="s">
        <v>84</v>
      </c>
      <c r="B39" s="59">
        <f t="shared" si="4"/>
        <v>0</v>
      </c>
      <c r="C39" s="59"/>
      <c r="D39" s="59">
        <f t="shared" si="5"/>
        <v>0</v>
      </c>
    </row>
    <row r="40" ht="15.75" customHeight="1">
      <c r="A40" s="58" t="s">
        <v>85</v>
      </c>
      <c r="B40" s="59">
        <f t="shared" si="4"/>
        <v>0</v>
      </c>
      <c r="C40" s="59"/>
      <c r="D40" s="59">
        <f t="shared" si="5"/>
        <v>0</v>
      </c>
    </row>
    <row r="41" ht="15.75" customHeight="1">
      <c r="A41" s="58" t="s">
        <v>86</v>
      </c>
      <c r="B41" s="59">
        <f t="shared" si="4"/>
        <v>0</v>
      </c>
      <c r="C41" s="59"/>
      <c r="D41" s="59">
        <f t="shared" si="5"/>
        <v>0</v>
      </c>
    </row>
    <row r="42" ht="15.75" customHeight="1">
      <c r="A42" s="58" t="s">
        <v>87</v>
      </c>
      <c r="B42" s="25">
        <f>((((B37)+(B38))+(B39))+(B40))+(B41)</f>
        <v>0</v>
      </c>
      <c r="C42" s="25"/>
      <c r="D42" s="25">
        <f>((((D37)+(D38))+(D39))+(D40))+(D41)</f>
        <v>0</v>
      </c>
    </row>
    <row r="43" ht="15.75" customHeight="1">
      <c r="A43" s="58" t="s">
        <v>88</v>
      </c>
      <c r="B43" s="57"/>
      <c r="C43" s="57"/>
      <c r="D43" s="57"/>
    </row>
    <row r="44" ht="15.75" customHeight="1">
      <c r="A44" s="58" t="s">
        <v>89</v>
      </c>
      <c r="B44" s="59">
        <f t="shared" ref="B44:B47" si="6">0</f>
        <v>0</v>
      </c>
      <c r="C44" s="59"/>
      <c r="D44" s="59">
        <f t="shared" ref="D44:D47" si="7">0</f>
        <v>0</v>
      </c>
    </row>
    <row r="45" ht="15.75" customHeight="1">
      <c r="A45" s="58" t="s">
        <v>90</v>
      </c>
      <c r="B45" s="59">
        <f t="shared" si="6"/>
        <v>0</v>
      </c>
      <c r="C45" s="59"/>
      <c r="D45" s="59">
        <f t="shared" si="7"/>
        <v>0</v>
      </c>
    </row>
    <row r="46" ht="15.75" customHeight="1">
      <c r="A46" s="58" t="s">
        <v>91</v>
      </c>
      <c r="B46" s="59">
        <f t="shared" si="6"/>
        <v>0</v>
      </c>
      <c r="C46" s="59"/>
      <c r="D46" s="59">
        <f t="shared" si="7"/>
        <v>0</v>
      </c>
    </row>
    <row r="47" ht="15.75" customHeight="1">
      <c r="A47" s="58" t="s">
        <v>92</v>
      </c>
      <c r="B47" s="59">
        <f t="shared" si="6"/>
        <v>0</v>
      </c>
      <c r="C47" s="59"/>
      <c r="D47" s="59">
        <f t="shared" si="7"/>
        <v>0</v>
      </c>
    </row>
    <row r="48" ht="15.75" customHeight="1">
      <c r="A48" s="58" t="s">
        <v>93</v>
      </c>
      <c r="B48" s="25">
        <f>((((B43)+(B44))+(B45))+(B46))+(B47)</f>
        <v>0</v>
      </c>
      <c r="C48" s="25"/>
      <c r="D48" s="25">
        <f>((((D43)+(D44))+(D45))+(D46))+(D47)</f>
        <v>0</v>
      </c>
    </row>
    <row r="49" ht="15.75" customHeight="1">
      <c r="A49" s="58" t="s">
        <v>94</v>
      </c>
      <c r="B49" s="57"/>
      <c r="C49" s="57"/>
      <c r="D49" s="57"/>
    </row>
    <row r="50" ht="15.75" customHeight="1">
      <c r="A50" s="58" t="s">
        <v>95</v>
      </c>
      <c r="B50" s="59">
        <f>681764.33</f>
        <v>681764.33</v>
      </c>
      <c r="C50" s="59"/>
      <c r="D50" s="59">
        <v>663419.0</v>
      </c>
    </row>
    <row r="51" ht="15.75" customHeight="1">
      <c r="A51" s="58" t="s">
        <v>96</v>
      </c>
      <c r="B51" s="59">
        <f>889000</f>
        <v>889000</v>
      </c>
      <c r="C51" s="59"/>
      <c r="D51" s="59">
        <v>889000.0</v>
      </c>
    </row>
    <row r="52" ht="15.75" customHeight="1">
      <c r="A52" s="58" t="s">
        <v>97</v>
      </c>
      <c r="B52" s="59">
        <f>703478.72</f>
        <v>703478.72</v>
      </c>
      <c r="C52" s="59"/>
      <c r="D52" s="59">
        <v>590200.83</v>
      </c>
    </row>
    <row r="53" ht="15.75" customHeight="1">
      <c r="A53" s="58" t="s">
        <v>98</v>
      </c>
      <c r="B53" s="59">
        <f>31751.55</f>
        <v>31751.55</v>
      </c>
      <c r="C53" s="59"/>
      <c r="D53" s="59">
        <f t="shared" ref="D53:D54" si="8">0</f>
        <v>0</v>
      </c>
    </row>
    <row r="54" ht="15.75" customHeight="1">
      <c r="A54" s="58" t="s">
        <v>99</v>
      </c>
      <c r="B54" s="59">
        <f>0</f>
        <v>0</v>
      </c>
      <c r="C54" s="59"/>
      <c r="D54" s="59">
        <f t="shared" si="8"/>
        <v>0</v>
      </c>
    </row>
    <row r="55" ht="15.75" customHeight="1">
      <c r="A55" s="58" t="s">
        <v>100</v>
      </c>
      <c r="B55" s="59">
        <f>54758.03</f>
        <v>54758.03</v>
      </c>
      <c r="C55" s="59"/>
      <c r="D55" s="59">
        <f>32058.03</f>
        <v>32058.03</v>
      </c>
    </row>
    <row r="56" ht="15.75" customHeight="1">
      <c r="A56" s="58" t="s">
        <v>101</v>
      </c>
      <c r="B56" s="59">
        <f>50676.4</f>
        <v>50676.4</v>
      </c>
      <c r="C56" s="59"/>
      <c r="D56" s="59">
        <f>50676.4</f>
        <v>50676.4</v>
      </c>
    </row>
    <row r="57" ht="15.75" customHeight="1">
      <c r="A57" s="58" t="s">
        <v>102</v>
      </c>
      <c r="B57" s="25">
        <f>((B54)+(B55))+(B56)</f>
        <v>105434.43</v>
      </c>
      <c r="C57" s="25"/>
      <c r="D57" s="25">
        <f>((D54)+(D55))+(D56)</f>
        <v>82734.43</v>
      </c>
    </row>
    <row r="58" ht="15.75" customHeight="1">
      <c r="A58" s="58" t="s">
        <v>103</v>
      </c>
      <c r="B58" s="25">
        <f>(((((B49)+(B50))+(B51))+(B52))+(B53))+(B57)</f>
        <v>2411429.03</v>
      </c>
      <c r="C58" s="25"/>
      <c r="D58" s="25">
        <f>(((((D49)+(D50))+(D51))+(D52))+(D53))+(D57)</f>
        <v>2225354.26</v>
      </c>
    </row>
    <row r="59" ht="15.75" customHeight="1">
      <c r="A59" s="58" t="s">
        <v>104</v>
      </c>
      <c r="B59" s="57"/>
      <c r="C59" s="57"/>
      <c r="D59" s="57"/>
    </row>
    <row r="60" ht="15.75" customHeight="1">
      <c r="A60" s="58" t="s">
        <v>105</v>
      </c>
      <c r="B60" s="59">
        <f>-185481.36</f>
        <v>-185481.36</v>
      </c>
      <c r="C60" s="59"/>
      <c r="D60" s="59">
        <v>-168963.24</v>
      </c>
    </row>
    <row r="61" ht="15.75" customHeight="1">
      <c r="A61" s="58" t="s">
        <v>106</v>
      </c>
      <c r="B61" s="59">
        <f>-153147.55</f>
        <v>-153147.55</v>
      </c>
      <c r="C61" s="59"/>
      <c r="D61" s="59">
        <v>-88977.59</v>
      </c>
    </row>
    <row r="62" ht="15.75" customHeight="1">
      <c r="A62" s="58" t="s">
        <v>107</v>
      </c>
      <c r="B62" s="59">
        <f>0</f>
        <v>0</v>
      </c>
      <c r="C62" s="59"/>
      <c r="D62" s="59">
        <v>-876.29</v>
      </c>
    </row>
    <row r="63" ht="15.75" customHeight="1">
      <c r="A63" s="58" t="s">
        <v>108</v>
      </c>
      <c r="B63" s="57"/>
      <c r="C63" s="57"/>
      <c r="D63" s="57"/>
    </row>
    <row r="64" ht="15.75" customHeight="1">
      <c r="A64" s="58" t="s">
        <v>109</v>
      </c>
      <c r="B64" s="59">
        <f>-24020.97</f>
        <v>-24020.97</v>
      </c>
      <c r="C64" s="59"/>
      <c r="D64" s="59">
        <v>-23066.07</v>
      </c>
    </row>
    <row r="65" ht="15.75" customHeight="1">
      <c r="A65" s="58" t="s">
        <v>110</v>
      </c>
      <c r="B65" s="59">
        <f>-42338.58</f>
        <v>-42338.58</v>
      </c>
      <c r="C65" s="59"/>
      <c r="D65" s="59">
        <v>-40696.58</v>
      </c>
    </row>
    <row r="66" ht="15.75" customHeight="1">
      <c r="A66" s="58" t="s">
        <v>111</v>
      </c>
      <c r="B66" s="25">
        <f>((B63)+(B64))+(B65)</f>
        <v>-66359.55</v>
      </c>
      <c r="C66" s="25"/>
      <c r="D66" s="25">
        <f>((D63)+(D64))+(D65)</f>
        <v>-63762.65</v>
      </c>
    </row>
    <row r="67" ht="15.75" customHeight="1">
      <c r="A67" s="58" t="s">
        <v>112</v>
      </c>
      <c r="B67" s="25">
        <f>((((B59)+(B60))+(B61))+(B62))+(B66)</f>
        <v>-404988.46</v>
      </c>
      <c r="C67" s="25"/>
      <c r="D67" s="25">
        <f>((((D59)+(D60))+(D61))+(D62))+(D66)</f>
        <v>-322579.77</v>
      </c>
    </row>
    <row r="68" ht="15.75" customHeight="1">
      <c r="A68" s="58" t="s">
        <v>113</v>
      </c>
      <c r="B68" s="25">
        <f>((((B36)+(B42))+(B48))+(B58))+(B67)</f>
        <v>2006440.57</v>
      </c>
      <c r="C68" s="25"/>
      <c r="D68" s="25">
        <f>((((D36)+(D42))+(D48))+(D58))+(D67)</f>
        <v>1902774.49</v>
      </c>
    </row>
    <row r="69" ht="15.75" customHeight="1">
      <c r="A69" s="58" t="s">
        <v>114</v>
      </c>
      <c r="B69" s="25">
        <f>B68</f>
        <v>2006440.57</v>
      </c>
      <c r="C69" s="25"/>
      <c r="D69" s="25">
        <f>D68</f>
        <v>1902774.49</v>
      </c>
    </row>
    <row r="70" ht="15.75" customHeight="1">
      <c r="A70" s="58" t="s">
        <v>115</v>
      </c>
      <c r="B70" s="57"/>
      <c r="C70" s="57"/>
      <c r="D70" s="57"/>
    </row>
    <row r="71" ht="15.75" customHeight="1">
      <c r="A71" s="58" t="s">
        <v>116</v>
      </c>
      <c r="B71" s="57"/>
      <c r="C71" s="57"/>
      <c r="D71" s="57"/>
    </row>
    <row r="72" ht="15.75" customHeight="1">
      <c r="A72" s="58" t="s">
        <v>117</v>
      </c>
      <c r="B72" s="59">
        <f t="shared" ref="B72:B76" si="9">0</f>
        <v>0</v>
      </c>
      <c r="C72" s="59"/>
      <c r="D72" s="59">
        <f t="shared" ref="D72:D76" si="10">0</f>
        <v>0</v>
      </c>
    </row>
    <row r="73" ht="15.75" customHeight="1">
      <c r="A73" s="58" t="s">
        <v>118</v>
      </c>
      <c r="B73" s="59">
        <f t="shared" si="9"/>
        <v>0</v>
      </c>
      <c r="C73" s="59"/>
      <c r="D73" s="59">
        <f t="shared" si="10"/>
        <v>0</v>
      </c>
    </row>
    <row r="74" ht="15.75" customHeight="1">
      <c r="A74" s="58" t="s">
        <v>119</v>
      </c>
      <c r="B74" s="59">
        <f t="shared" si="9"/>
        <v>0</v>
      </c>
      <c r="C74" s="59"/>
      <c r="D74" s="59">
        <f t="shared" si="10"/>
        <v>0</v>
      </c>
    </row>
    <row r="75" ht="15.75" customHeight="1">
      <c r="A75" s="58" t="s">
        <v>120</v>
      </c>
      <c r="B75" s="59">
        <f t="shared" si="9"/>
        <v>0</v>
      </c>
      <c r="C75" s="59"/>
      <c r="D75" s="59">
        <f t="shared" si="10"/>
        <v>0</v>
      </c>
    </row>
    <row r="76" ht="15.75" customHeight="1">
      <c r="A76" s="58" t="s">
        <v>121</v>
      </c>
      <c r="B76" s="59">
        <f t="shared" si="9"/>
        <v>0</v>
      </c>
      <c r="C76" s="59"/>
      <c r="D76" s="59">
        <f t="shared" si="10"/>
        <v>0</v>
      </c>
    </row>
    <row r="77" ht="15.75" customHeight="1">
      <c r="A77" s="58" t="s">
        <v>122</v>
      </c>
      <c r="B77" s="25">
        <f>(((B73)+(B74))+(B75))+(B76)</f>
        <v>0</v>
      </c>
      <c r="C77" s="25"/>
      <c r="D77" s="25">
        <f>(((D73)+(D74))+(D75))+(D76)</f>
        <v>0</v>
      </c>
    </row>
    <row r="78" ht="15.75" customHeight="1">
      <c r="A78" s="58" t="s">
        <v>123</v>
      </c>
      <c r="B78" s="59">
        <f>0</f>
        <v>0</v>
      </c>
      <c r="C78" s="59"/>
      <c r="D78" s="59">
        <f>0</f>
        <v>0</v>
      </c>
    </row>
    <row r="79" ht="15.75" customHeight="1">
      <c r="A79" s="58" t="s">
        <v>124</v>
      </c>
      <c r="B79" s="59">
        <f>45173.93</f>
        <v>45173.93</v>
      </c>
      <c r="C79" s="59"/>
      <c r="D79" s="59">
        <f>48185.17</f>
        <v>48185.17</v>
      </c>
    </row>
    <row r="80" ht="15.75" customHeight="1">
      <c r="A80" s="58" t="s">
        <v>125</v>
      </c>
      <c r="B80" s="59">
        <f>85365.83</f>
        <v>85365.83</v>
      </c>
      <c r="C80" s="59"/>
      <c r="D80" s="59">
        <f>91056.13</f>
        <v>91056.13</v>
      </c>
    </row>
    <row r="81" ht="15.75" customHeight="1">
      <c r="A81" s="58" t="s">
        <v>126</v>
      </c>
      <c r="B81" s="59">
        <f>17404.57</f>
        <v>17404.57</v>
      </c>
      <c r="C81" s="59"/>
      <c r="D81" s="59">
        <f>21651.17</f>
        <v>21651.17</v>
      </c>
    </row>
    <row r="82" ht="15.75" customHeight="1">
      <c r="A82" s="58" t="s">
        <v>127</v>
      </c>
      <c r="B82" s="25">
        <f>((((((B71)+(B72))+(B77))+(B78))+(B79))+(B80))+(B81)</f>
        <v>147944.33</v>
      </c>
      <c r="C82" s="25"/>
      <c r="D82" s="25">
        <f>((((((D71)+(D72))+(D77))+(D78))+(D79))+(D80))+(D81)</f>
        <v>160892.47</v>
      </c>
    </row>
    <row r="83" ht="15.75" customHeight="1">
      <c r="A83" s="58" t="s">
        <v>128</v>
      </c>
      <c r="B83" s="59">
        <f>0</f>
        <v>0</v>
      </c>
      <c r="C83" s="59"/>
      <c r="D83" s="59">
        <f>0</f>
        <v>0</v>
      </c>
    </row>
    <row r="84" ht="15.75" customHeight="1">
      <c r="A84" s="58" t="s">
        <v>129</v>
      </c>
      <c r="B84" s="25">
        <f>(B82)+(B83)</f>
        <v>147944.33</v>
      </c>
      <c r="C84" s="25"/>
      <c r="D84" s="25">
        <f>(D82)+(D83)</f>
        <v>160892.47</v>
      </c>
    </row>
    <row r="85" ht="15.75" customHeight="1">
      <c r="A85" s="58" t="s">
        <v>130</v>
      </c>
      <c r="B85" s="25">
        <f>((B34)+(B69))+(B84)</f>
        <v>2735092.69</v>
      </c>
      <c r="C85" s="25"/>
      <c r="D85" s="25">
        <f>((D34)+(D69))+(D84)</f>
        <v>2734344.8</v>
      </c>
    </row>
    <row r="86" ht="15.75" customHeight="1">
      <c r="A86" s="58" t="s">
        <v>131</v>
      </c>
      <c r="B86" s="57"/>
      <c r="C86" s="57"/>
      <c r="D86" s="57"/>
    </row>
    <row r="87" ht="15.75" customHeight="1">
      <c r="A87" s="58" t="s">
        <v>132</v>
      </c>
      <c r="B87" s="57"/>
      <c r="C87" s="57"/>
      <c r="D87" s="57"/>
    </row>
    <row r="88" ht="15.75" customHeight="1">
      <c r="A88" s="58" t="s">
        <v>133</v>
      </c>
      <c r="B88" s="57"/>
      <c r="C88" s="57"/>
      <c r="D88" s="57"/>
    </row>
    <row r="89" ht="15.75" customHeight="1">
      <c r="A89" s="58" t="s">
        <v>134</v>
      </c>
      <c r="B89" s="57"/>
      <c r="C89" s="57"/>
      <c r="D89" s="57"/>
    </row>
    <row r="90" ht="15.75" customHeight="1">
      <c r="A90" s="58" t="s">
        <v>135</v>
      </c>
      <c r="B90" s="59">
        <f>1146.73</f>
        <v>1146.73</v>
      </c>
      <c r="C90" s="59"/>
      <c r="D90" s="59">
        <v>1152.85</v>
      </c>
    </row>
    <row r="91" ht="15.75" customHeight="1">
      <c r="A91" s="58" t="s">
        <v>136</v>
      </c>
      <c r="B91" s="25">
        <f>B90</f>
        <v>1146.73</v>
      </c>
      <c r="C91" s="25"/>
      <c r="D91" s="25">
        <f>D90</f>
        <v>1152.85</v>
      </c>
    </row>
    <row r="92" ht="15.75" customHeight="1">
      <c r="A92" s="58" t="s">
        <v>137</v>
      </c>
      <c r="B92" s="57"/>
      <c r="C92" s="57"/>
      <c r="D92" s="57"/>
    </row>
    <row r="93" ht="15.75" customHeight="1">
      <c r="A93" s="58" t="s">
        <v>138</v>
      </c>
      <c r="B93" s="57"/>
      <c r="C93" s="57"/>
      <c r="D93" s="57"/>
    </row>
    <row r="94" ht="15.75" customHeight="1">
      <c r="A94" s="58" t="s">
        <v>139</v>
      </c>
      <c r="B94" s="59">
        <f>-25.7</f>
        <v>-25.7</v>
      </c>
      <c r="C94" s="59"/>
      <c r="D94" s="59">
        <v>224.89</v>
      </c>
    </row>
    <row r="95" ht="15.75" customHeight="1">
      <c r="A95" s="58" t="s">
        <v>140</v>
      </c>
      <c r="B95" s="59">
        <f>2024.23</f>
        <v>2024.23</v>
      </c>
      <c r="C95" s="59"/>
      <c r="D95" s="59">
        <v>874.9</v>
      </c>
    </row>
    <row r="96" ht="15.75" customHeight="1">
      <c r="A96" s="58" t="s">
        <v>141</v>
      </c>
      <c r="B96" s="59">
        <f>0</f>
        <v>0</v>
      </c>
      <c r="C96" s="59"/>
      <c r="D96" s="59">
        <f>0</f>
        <v>0</v>
      </c>
    </row>
    <row r="97" ht="15.75" customHeight="1">
      <c r="A97" s="58" t="s">
        <v>142</v>
      </c>
      <c r="B97" s="59">
        <f>937.61</f>
        <v>937.61</v>
      </c>
      <c r="C97" s="59"/>
      <c r="D97" s="59">
        <v>1119.28</v>
      </c>
    </row>
    <row r="98" ht="15.75" customHeight="1">
      <c r="A98" s="58" t="s">
        <v>143</v>
      </c>
      <c r="B98" s="59">
        <f>164.3</f>
        <v>164.3</v>
      </c>
      <c r="C98" s="59"/>
      <c r="D98" s="59">
        <v>130.88</v>
      </c>
    </row>
    <row r="99" ht="15.75" customHeight="1">
      <c r="A99" s="58" t="s">
        <v>144</v>
      </c>
      <c r="B99" s="59">
        <f>0</f>
        <v>0</v>
      </c>
      <c r="C99" s="59"/>
      <c r="D99" s="57"/>
    </row>
    <row r="100" ht="15.75" customHeight="1">
      <c r="A100" s="58" t="s">
        <v>145</v>
      </c>
      <c r="B100" s="25">
        <f>((((((B93)+(B94))+(B95))+(B96))+(B97))+(B98))+(B99)</f>
        <v>3100.44</v>
      </c>
      <c r="C100" s="25"/>
      <c r="D100" s="25">
        <f>((((((D93)+(D94))+(D95))+(D96))+(D97))+(D98))+(D99)</f>
        <v>2349.95</v>
      </c>
    </row>
    <row r="101" ht="15.75" customHeight="1">
      <c r="A101" s="58" t="s">
        <v>146</v>
      </c>
      <c r="B101" s="57"/>
      <c r="C101" s="57"/>
      <c r="D101" s="57"/>
    </row>
    <row r="102" ht="15.75" customHeight="1">
      <c r="A102" s="58" t="s">
        <v>147</v>
      </c>
      <c r="B102" s="59">
        <f t="shared" ref="B102:B108" si="11">0</f>
        <v>0</v>
      </c>
      <c r="C102" s="59"/>
      <c r="D102" s="59">
        <f t="shared" ref="D102:D108" si="12">0</f>
        <v>0</v>
      </c>
    </row>
    <row r="103" ht="15.75" customHeight="1">
      <c r="A103" s="58" t="s">
        <v>148</v>
      </c>
      <c r="B103" s="59">
        <f t="shared" si="11"/>
        <v>0</v>
      </c>
      <c r="C103" s="59"/>
      <c r="D103" s="59">
        <f t="shared" si="12"/>
        <v>0</v>
      </c>
    </row>
    <row r="104" ht="15.75" customHeight="1">
      <c r="A104" s="58" t="s">
        <v>149</v>
      </c>
      <c r="B104" s="59">
        <f t="shared" si="11"/>
        <v>0</v>
      </c>
      <c r="C104" s="59"/>
      <c r="D104" s="59">
        <f t="shared" si="12"/>
        <v>0</v>
      </c>
    </row>
    <row r="105" ht="15.75" customHeight="1">
      <c r="A105" s="58" t="s">
        <v>150</v>
      </c>
      <c r="B105" s="59">
        <f t="shared" si="11"/>
        <v>0</v>
      </c>
      <c r="C105" s="59"/>
      <c r="D105" s="59">
        <f t="shared" si="12"/>
        <v>0</v>
      </c>
    </row>
    <row r="106" ht="15.75" customHeight="1">
      <c r="A106" s="58" t="s">
        <v>151</v>
      </c>
      <c r="B106" s="59">
        <f t="shared" si="11"/>
        <v>0</v>
      </c>
      <c r="C106" s="59"/>
      <c r="D106" s="59">
        <f t="shared" si="12"/>
        <v>0</v>
      </c>
    </row>
    <row r="107" ht="15.75" customHeight="1">
      <c r="A107" s="58" t="s">
        <v>152</v>
      </c>
      <c r="B107" s="59">
        <f t="shared" si="11"/>
        <v>0</v>
      </c>
      <c r="C107" s="59"/>
      <c r="D107" s="59">
        <f t="shared" si="12"/>
        <v>0</v>
      </c>
    </row>
    <row r="108" ht="15.75" customHeight="1">
      <c r="A108" s="58" t="s">
        <v>153</v>
      </c>
      <c r="B108" s="59">
        <f t="shared" si="11"/>
        <v>0</v>
      </c>
      <c r="C108" s="59"/>
      <c r="D108" s="59">
        <f t="shared" si="12"/>
        <v>0</v>
      </c>
    </row>
    <row r="109" ht="15.75" customHeight="1">
      <c r="A109" s="58" t="s">
        <v>154</v>
      </c>
      <c r="B109" s="25">
        <f>(((((((B101)+(B102))+(B103))+(B104))+(B105))+(B106))+(B107))+(B108)</f>
        <v>0</v>
      </c>
      <c r="C109" s="25"/>
      <c r="D109" s="25">
        <f>(((((((D101)+(D102))+(D103))+(D104))+(D105))+(D106))+(D107))+(D108)</f>
        <v>0</v>
      </c>
    </row>
    <row r="110" ht="15.75" customHeight="1">
      <c r="A110" s="58" t="s">
        <v>155</v>
      </c>
      <c r="B110" s="25">
        <f>(B100)+(B109)</f>
        <v>3100.44</v>
      </c>
      <c r="C110" s="25"/>
      <c r="D110" s="25">
        <f>(D100)+(D109)</f>
        <v>2349.95</v>
      </c>
    </row>
    <row r="111" ht="15.75" customHeight="1">
      <c r="A111" s="58" t="s">
        <v>156</v>
      </c>
      <c r="B111" s="57"/>
      <c r="C111" s="57"/>
      <c r="D111" s="57"/>
    </row>
    <row r="112" ht="15.75" customHeight="1">
      <c r="A112" s="58" t="s">
        <v>157</v>
      </c>
      <c r="B112" s="59">
        <f t="shared" ref="B112:B113" si="13">0</f>
        <v>0</v>
      </c>
      <c r="C112" s="59"/>
      <c r="D112" s="59">
        <f t="shared" ref="D112:D114" si="14">0</f>
        <v>0</v>
      </c>
    </row>
    <row r="113" ht="15.75" customHeight="1">
      <c r="A113" s="58" t="s">
        <v>158</v>
      </c>
      <c r="B113" s="59">
        <f t="shared" si="13"/>
        <v>0</v>
      </c>
      <c r="C113" s="59"/>
      <c r="D113" s="59">
        <f t="shared" si="14"/>
        <v>0</v>
      </c>
    </row>
    <row r="114" ht="15.75" customHeight="1">
      <c r="A114" s="58" t="s">
        <v>159</v>
      </c>
      <c r="B114" s="59">
        <f>532.02</f>
        <v>532.02</v>
      </c>
      <c r="C114" s="59"/>
      <c r="D114" s="59">
        <f t="shared" si="14"/>
        <v>0</v>
      </c>
    </row>
    <row r="115" ht="15.75" customHeight="1">
      <c r="A115" s="58" t="s">
        <v>160</v>
      </c>
      <c r="B115" s="59">
        <f>2700</f>
        <v>2700</v>
      </c>
      <c r="C115" s="59"/>
      <c r="D115" s="59">
        <v>9100.0</v>
      </c>
    </row>
    <row r="116" ht="15.75" customHeight="1">
      <c r="A116" s="58" t="s">
        <v>161</v>
      </c>
      <c r="B116" s="59">
        <f t="shared" ref="B116:B120" si="15">0</f>
        <v>0</v>
      </c>
      <c r="C116" s="59"/>
      <c r="D116" s="59">
        <f t="shared" ref="D116:D120" si="16">0</f>
        <v>0</v>
      </c>
    </row>
    <row r="117" ht="15.75" customHeight="1">
      <c r="A117" s="58" t="s">
        <v>162</v>
      </c>
      <c r="B117" s="59">
        <f t="shared" si="15"/>
        <v>0</v>
      </c>
      <c r="C117" s="59"/>
      <c r="D117" s="59">
        <f t="shared" si="16"/>
        <v>0</v>
      </c>
    </row>
    <row r="118" ht="15.75" customHeight="1">
      <c r="A118" s="58" t="s">
        <v>163</v>
      </c>
      <c r="B118" s="59">
        <f t="shared" si="15"/>
        <v>0</v>
      </c>
      <c r="C118" s="59"/>
      <c r="D118" s="59">
        <f t="shared" si="16"/>
        <v>0</v>
      </c>
    </row>
    <row r="119" ht="15.75" customHeight="1">
      <c r="A119" s="58" t="s">
        <v>164</v>
      </c>
      <c r="B119" s="59">
        <f t="shared" si="15"/>
        <v>0</v>
      </c>
      <c r="C119" s="59"/>
      <c r="D119" s="59">
        <f t="shared" si="16"/>
        <v>0</v>
      </c>
    </row>
    <row r="120" ht="15.75" customHeight="1">
      <c r="A120" s="58" t="s">
        <v>165</v>
      </c>
      <c r="B120" s="59">
        <f t="shared" si="15"/>
        <v>0</v>
      </c>
      <c r="C120" s="59"/>
      <c r="D120" s="59">
        <f t="shared" si="16"/>
        <v>0</v>
      </c>
    </row>
    <row r="121" ht="15.75" customHeight="1">
      <c r="A121" s="58" t="s">
        <v>166</v>
      </c>
      <c r="B121" s="59"/>
      <c r="C121" s="59"/>
      <c r="D121" s="59">
        <v>8765.0</v>
      </c>
    </row>
    <row r="122" ht="15.75" customHeight="1">
      <c r="A122" s="58" t="s">
        <v>167</v>
      </c>
      <c r="B122" s="57"/>
      <c r="C122" s="57"/>
      <c r="D122" s="57"/>
    </row>
    <row r="123" ht="15.75" customHeight="1">
      <c r="A123" s="58" t="s">
        <v>168</v>
      </c>
      <c r="B123" s="59">
        <f>814.36</f>
        <v>814.36</v>
      </c>
      <c r="C123" s="59"/>
      <c r="D123" s="59">
        <f>1457.7</f>
        <v>1457.7</v>
      </c>
    </row>
    <row r="124" ht="15.75" customHeight="1">
      <c r="A124" s="58" t="s">
        <v>169</v>
      </c>
      <c r="B124" s="59">
        <f>2267.72</f>
        <v>2267.72</v>
      </c>
      <c r="C124" s="59"/>
      <c r="D124" s="59">
        <v>1158.59</v>
      </c>
    </row>
    <row r="125" ht="15.75" customHeight="1">
      <c r="A125" s="58" t="s">
        <v>170</v>
      </c>
      <c r="B125" s="59">
        <f t="shared" ref="B125:B130" si="17">0</f>
        <v>0</v>
      </c>
      <c r="C125" s="59"/>
      <c r="D125" s="59">
        <f t="shared" ref="D125:D127" si="18">0</f>
        <v>0</v>
      </c>
    </row>
    <row r="126" ht="15.75" customHeight="1">
      <c r="A126" s="58" t="s">
        <v>171</v>
      </c>
      <c r="B126" s="59">
        <f t="shared" si="17"/>
        <v>0</v>
      </c>
      <c r="C126" s="59"/>
      <c r="D126" s="59">
        <f t="shared" si="18"/>
        <v>0</v>
      </c>
    </row>
    <row r="127" ht="15.75" customHeight="1">
      <c r="A127" s="58" t="s">
        <v>172</v>
      </c>
      <c r="B127" s="59">
        <f t="shared" si="17"/>
        <v>0</v>
      </c>
      <c r="C127" s="59"/>
      <c r="D127" s="59">
        <f t="shared" si="18"/>
        <v>0</v>
      </c>
    </row>
    <row r="128" ht="15.75" customHeight="1">
      <c r="A128" s="58" t="s">
        <v>173</v>
      </c>
      <c r="B128" s="59">
        <f t="shared" si="17"/>
        <v>0</v>
      </c>
      <c r="C128" s="59"/>
      <c r="D128" s="57"/>
    </row>
    <row r="129" ht="15.75" customHeight="1">
      <c r="A129" s="58" t="s">
        <v>174</v>
      </c>
      <c r="B129" s="59">
        <f t="shared" si="17"/>
        <v>0</v>
      </c>
      <c r="C129" s="59"/>
      <c r="D129" s="59">
        <f>0</f>
        <v>0</v>
      </c>
    </row>
    <row r="130" ht="15.75" customHeight="1">
      <c r="A130" s="58" t="s">
        <v>175</v>
      </c>
      <c r="B130" s="59">
        <f t="shared" si="17"/>
        <v>0</v>
      </c>
      <c r="C130" s="59"/>
      <c r="D130" s="57"/>
    </row>
    <row r="131" ht="15.75" customHeight="1">
      <c r="A131" s="58" t="s">
        <v>176</v>
      </c>
      <c r="B131" s="59">
        <f>527.33</f>
        <v>527.33</v>
      </c>
      <c r="C131" s="59"/>
      <c r="D131" s="59">
        <f>181.58</f>
        <v>181.58</v>
      </c>
    </row>
    <row r="132" ht="15.75" customHeight="1">
      <c r="A132" s="58" t="s">
        <v>177</v>
      </c>
      <c r="B132" s="59">
        <f>86.4</f>
        <v>86.4</v>
      </c>
      <c r="C132" s="59"/>
      <c r="D132" s="59">
        <f>32.4</f>
        <v>32.4</v>
      </c>
    </row>
    <row r="133" ht="15.75" customHeight="1">
      <c r="A133" s="58" t="s">
        <v>178</v>
      </c>
      <c r="B133" s="59">
        <f>25.51</f>
        <v>25.51</v>
      </c>
      <c r="C133" s="59"/>
      <c r="D133" s="59">
        <f>900.56</f>
        <v>900.56</v>
      </c>
    </row>
    <row r="134" ht="15.75" customHeight="1">
      <c r="A134" s="58" t="s">
        <v>179</v>
      </c>
      <c r="B134" s="25">
        <f>(((((((((((B122)+(B123))+(B124))+(B125))+(B126))+(B127))+(B128))+(B129))+(B130))+(B131))+(B132))+(B133)</f>
        <v>3721.32</v>
      </c>
      <c r="C134" s="25"/>
      <c r="D134" s="25">
        <f>(((((((((((D122)+(D123))+(D124))+(D125))+(D126))+(D127))+(D128))+(D129))+(D130))+(D131))+(D132))+(D133)</f>
        <v>3730.83</v>
      </c>
    </row>
    <row r="135" ht="15.75" customHeight="1">
      <c r="A135" s="58" t="s">
        <v>180</v>
      </c>
      <c r="B135" s="25">
        <f>(((((((((B112)+(B113))+(B114))+(B115))+(B116))+(B117))+(B118))+(B119))+(B120))+(B134)</f>
        <v>6953.34</v>
      </c>
      <c r="C135" s="25"/>
      <c r="D135" s="25">
        <f>D115+D121+D134</f>
        <v>21595.83</v>
      </c>
    </row>
    <row r="136" ht="15.75" customHeight="1">
      <c r="A136" s="58" t="s">
        <v>181</v>
      </c>
      <c r="B136" s="25">
        <f>((B91)+(B110))+(B135)</f>
        <v>11200.51</v>
      </c>
      <c r="C136" s="25"/>
      <c r="D136" s="25">
        <f>((D91)+(D110))+(D135)</f>
        <v>25098.63</v>
      </c>
    </row>
    <row r="137" ht="15.75" customHeight="1">
      <c r="A137" s="58" t="s">
        <v>182</v>
      </c>
      <c r="B137" s="25">
        <f>B136</f>
        <v>11200.51</v>
      </c>
      <c r="C137" s="25"/>
      <c r="D137" s="25">
        <f>D136</f>
        <v>25098.63</v>
      </c>
    </row>
    <row r="138" ht="15.75" customHeight="1">
      <c r="A138" s="58" t="s">
        <v>183</v>
      </c>
      <c r="B138" s="57"/>
      <c r="C138" s="57"/>
      <c r="D138" s="57"/>
    </row>
    <row r="139" ht="15.75" customHeight="1">
      <c r="A139" s="58" t="s">
        <v>184</v>
      </c>
      <c r="B139" s="59">
        <f>0</f>
        <v>0</v>
      </c>
      <c r="C139" s="59"/>
      <c r="D139" s="59">
        <f>0</f>
        <v>0</v>
      </c>
    </row>
    <row r="140" ht="15.75" customHeight="1">
      <c r="A140" s="58" t="s">
        <v>185</v>
      </c>
      <c r="B140" s="59">
        <f>2146693.68</f>
        <v>2146693.68</v>
      </c>
      <c r="C140" s="59"/>
      <c r="D140" s="59">
        <v>2241250.61</v>
      </c>
    </row>
    <row r="141" ht="15.75" customHeight="1">
      <c r="A141" s="58" t="s">
        <v>186</v>
      </c>
      <c r="B141" s="59">
        <f>280554.33</f>
        <v>280554.33</v>
      </c>
      <c r="C141" s="59"/>
      <c r="D141" s="59">
        <v>278677.08</v>
      </c>
    </row>
    <row r="142" ht="15.75" customHeight="1">
      <c r="A142" s="58" t="s">
        <v>187</v>
      </c>
      <c r="B142" s="25">
        <f>((B139)+(B140))+(B141)</f>
        <v>2427248.01</v>
      </c>
      <c r="C142" s="25"/>
      <c r="D142" s="25">
        <f>((D139)+(D140))+(D141)</f>
        <v>2519927.69</v>
      </c>
    </row>
    <row r="143" ht="15.75" customHeight="1">
      <c r="A143" s="58" t="s">
        <v>188</v>
      </c>
      <c r="B143" s="59">
        <f>-130443.84</f>
        <v>-130443.84</v>
      </c>
      <c r="C143" s="59"/>
      <c r="D143" s="59"/>
    </row>
    <row r="144" ht="15.75" customHeight="1">
      <c r="A144" s="58" t="s">
        <v>189</v>
      </c>
      <c r="B144" s="57"/>
      <c r="C144" s="57"/>
      <c r="D144" s="57"/>
    </row>
    <row r="145" ht="15.75" customHeight="1">
      <c r="A145" s="58" t="s">
        <v>190</v>
      </c>
      <c r="B145" s="59">
        <f>79758</f>
        <v>79758</v>
      </c>
      <c r="C145" s="59"/>
      <c r="D145" s="59">
        <v>83848.17</v>
      </c>
    </row>
    <row r="146" ht="15.75" customHeight="1">
      <c r="A146" s="58" t="s">
        <v>191</v>
      </c>
      <c r="B146" s="59">
        <f>195399.33</f>
        <v>195399.33</v>
      </c>
      <c r="C146" s="59"/>
      <c r="D146" s="59">
        <v>121201.17</v>
      </c>
    </row>
    <row r="147" ht="15.75" customHeight="1">
      <c r="A147" s="58" t="s">
        <v>192</v>
      </c>
      <c r="B147" s="59">
        <f>0</f>
        <v>0</v>
      </c>
      <c r="C147" s="59"/>
      <c r="D147" s="59">
        <f>0</f>
        <v>0</v>
      </c>
    </row>
    <row r="148" ht="15.75" customHeight="1">
      <c r="A148" s="58" t="s">
        <v>193</v>
      </c>
      <c r="B148" s="59">
        <f>64618.1</f>
        <v>64618.1</v>
      </c>
      <c r="C148" s="59"/>
      <c r="D148" s="59">
        <v>51095.0</v>
      </c>
    </row>
    <row r="149" ht="15.75" customHeight="1">
      <c r="A149" s="58" t="s">
        <v>194</v>
      </c>
      <c r="B149" s="25">
        <f>((((B144)+(B145))+(B146))+(B147))+(B148)</f>
        <v>339775.43</v>
      </c>
      <c r="C149" s="25"/>
      <c r="D149" s="25">
        <f>((((D144)+(D145))+(D146))+(D147))+(D148)</f>
        <v>256144.34</v>
      </c>
    </row>
    <row r="150" ht="15.75" customHeight="1">
      <c r="A150" s="58" t="s">
        <v>195</v>
      </c>
      <c r="B150" s="59">
        <f>0</f>
        <v>0</v>
      </c>
      <c r="C150" s="59"/>
      <c r="D150" s="59">
        <f>0</f>
        <v>0</v>
      </c>
    </row>
    <row r="151" ht="15.75" customHeight="1">
      <c r="A151" s="58" t="s">
        <v>196</v>
      </c>
      <c r="B151" s="59">
        <f>87312.58</f>
        <v>87312.58</v>
      </c>
      <c r="C151" s="59"/>
      <c r="D151" s="59">
        <v>-66825.86</v>
      </c>
    </row>
    <row r="152" ht="15.75" customHeight="1">
      <c r="A152" s="58" t="s">
        <v>197</v>
      </c>
      <c r="B152" s="25">
        <f>((((B142)+(B143))+(B149))+(B150))+(B151)</f>
        <v>2723892.18</v>
      </c>
      <c r="C152" s="25"/>
      <c r="D152" s="25">
        <f>((((D142)+(D143))+(D149))+(D150))+(D151)</f>
        <v>2709246.17</v>
      </c>
    </row>
    <row r="153" ht="15.75" customHeight="1">
      <c r="A153" s="58" t="s">
        <v>198</v>
      </c>
      <c r="B153" s="25">
        <f>(B137)+(B152)</f>
        <v>2735092.69</v>
      </c>
      <c r="C153" s="25"/>
      <c r="D153" s="25">
        <f>(D137)+(D152)</f>
        <v>2734344.8</v>
      </c>
    </row>
    <row r="154" ht="15.75" customHeight="1">
      <c r="A154" s="58"/>
      <c r="B154" s="57"/>
      <c r="C154" s="57"/>
      <c r="D154" s="57"/>
    </row>
    <row r="155" ht="15.75" customHeight="1"/>
    <row r="156" ht="15.75" customHeight="1"/>
    <row r="157" ht="15.75" customHeight="1">
      <c r="A157" s="60" t="s">
        <v>199</v>
      </c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D1"/>
    <mergeCell ref="A2:D2"/>
    <mergeCell ref="A3:D3"/>
    <mergeCell ref="B5:D5"/>
    <mergeCell ref="A157:D15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3" width="10.43"/>
    <col customWidth="1" min="4" max="26" width="8.71"/>
  </cols>
  <sheetData>
    <row r="1">
      <c r="A1" s="51" t="s">
        <v>46</v>
      </c>
    </row>
    <row r="2">
      <c r="A2" s="51" t="s">
        <v>200</v>
      </c>
    </row>
    <row r="3">
      <c r="A3" s="61" t="s">
        <v>201</v>
      </c>
    </row>
    <row r="5">
      <c r="A5" s="53"/>
      <c r="B5" s="53"/>
      <c r="C5" s="54" t="s">
        <v>49</v>
      </c>
    </row>
    <row r="6">
      <c r="A6" s="58" t="s">
        <v>202</v>
      </c>
      <c r="B6" s="56"/>
      <c r="C6" s="57"/>
    </row>
    <row r="7">
      <c r="A7" s="58" t="s">
        <v>203</v>
      </c>
      <c r="B7" s="56"/>
      <c r="C7" s="57"/>
    </row>
    <row r="8">
      <c r="A8" s="58" t="s">
        <v>204</v>
      </c>
      <c r="B8" s="56"/>
      <c r="C8" s="57"/>
    </row>
    <row r="9">
      <c r="A9" s="58" t="s">
        <v>205</v>
      </c>
      <c r="B9" s="59">
        <v>43787.34</v>
      </c>
      <c r="C9" s="59">
        <v>159000.0</v>
      </c>
    </row>
    <row r="10">
      <c r="A10" s="58" t="s">
        <v>206</v>
      </c>
      <c r="B10" s="25">
        <f t="shared" ref="B10:C10" si="1">(B8)+(B9)</f>
        <v>43787.34</v>
      </c>
      <c r="C10" s="25">
        <f t="shared" si="1"/>
        <v>159000</v>
      </c>
    </row>
    <row r="11">
      <c r="A11" s="58" t="s">
        <v>207</v>
      </c>
      <c r="B11" s="57"/>
      <c r="C11" s="57"/>
    </row>
    <row r="12">
      <c r="A12" s="58" t="s">
        <v>208</v>
      </c>
      <c r="B12" s="57"/>
      <c r="C12" s="57"/>
    </row>
    <row r="13">
      <c r="A13" s="58" t="s">
        <v>209</v>
      </c>
      <c r="B13" s="59">
        <v>49919.48</v>
      </c>
      <c r="C13" s="59">
        <v>180350.0</v>
      </c>
    </row>
    <row r="14">
      <c r="A14" s="58" t="s">
        <v>210</v>
      </c>
      <c r="B14" s="25">
        <f t="shared" ref="B14:C14" si="2">(B12)+(B13)</f>
        <v>49919.48</v>
      </c>
      <c r="C14" s="25">
        <f t="shared" si="2"/>
        <v>180350</v>
      </c>
    </row>
    <row r="15">
      <c r="A15" s="58" t="s">
        <v>211</v>
      </c>
      <c r="B15" s="25">
        <f t="shared" ref="B15:C15" si="3">(B11)+(B14)</f>
        <v>49919.48</v>
      </c>
      <c r="C15" s="25">
        <f t="shared" si="3"/>
        <v>180350</v>
      </c>
    </row>
    <row r="16">
      <c r="A16" s="58" t="s">
        <v>212</v>
      </c>
      <c r="B16" s="57"/>
      <c r="C16" s="57"/>
    </row>
    <row r="17">
      <c r="A17" s="58" t="s">
        <v>213</v>
      </c>
      <c r="B17" s="57"/>
      <c r="C17" s="57"/>
    </row>
    <row r="18">
      <c r="A18" s="58" t="s">
        <v>214</v>
      </c>
      <c r="B18" s="59"/>
      <c r="C18" s="59">
        <v>0.0</v>
      </c>
    </row>
    <row r="19">
      <c r="A19" s="58" t="s">
        <v>215</v>
      </c>
      <c r="B19" s="25">
        <f t="shared" ref="B19:C19" si="4">(B17)+(B18)</f>
        <v>0</v>
      </c>
      <c r="C19" s="25">
        <f t="shared" si="4"/>
        <v>0</v>
      </c>
    </row>
    <row r="20">
      <c r="A20" s="58" t="s">
        <v>216</v>
      </c>
      <c r="B20" s="57"/>
      <c r="C20" s="57"/>
    </row>
    <row r="21" ht="15.75" customHeight="1">
      <c r="A21" s="58" t="s">
        <v>217</v>
      </c>
      <c r="B21" s="57">
        <v>5.11</v>
      </c>
      <c r="C21" s="57">
        <v>100.0</v>
      </c>
    </row>
    <row r="22" ht="15.75" customHeight="1">
      <c r="A22" s="58" t="s">
        <v>218</v>
      </c>
      <c r="B22" s="57">
        <v>0.0</v>
      </c>
    </row>
    <row r="23" ht="15.75" customHeight="1">
      <c r="A23" s="58" t="s">
        <v>219</v>
      </c>
      <c r="B23" s="59">
        <v>5000.0</v>
      </c>
      <c r="C23" s="59">
        <v>5000.0</v>
      </c>
    </row>
    <row r="24" ht="15.75" customHeight="1">
      <c r="A24" s="58" t="s">
        <v>220</v>
      </c>
      <c r="B24" s="25">
        <f t="shared" ref="B24:C24" si="5">SUM(B21:B23)</f>
        <v>5005.11</v>
      </c>
      <c r="C24" s="25">
        <f t="shared" si="5"/>
        <v>5100</v>
      </c>
    </row>
    <row r="25" ht="15.75" customHeight="1">
      <c r="A25" s="58" t="s">
        <v>221</v>
      </c>
      <c r="B25" s="25">
        <f t="shared" ref="B25:C25" si="6">((B16)+(B19))+(B24)</f>
        <v>5005.11</v>
      </c>
      <c r="C25" s="25">
        <f t="shared" si="6"/>
        <v>5100</v>
      </c>
    </row>
    <row r="26" ht="15.75" customHeight="1">
      <c r="A26" s="58"/>
      <c r="B26" s="59"/>
      <c r="C26" s="59"/>
    </row>
    <row r="27" ht="15.75" customHeight="1">
      <c r="A27" s="58"/>
      <c r="B27" s="59"/>
      <c r="C27" s="59"/>
    </row>
    <row r="28" ht="15.75" customHeight="1">
      <c r="A28" s="58" t="s">
        <v>222</v>
      </c>
      <c r="B28" s="25">
        <f>B10+B15+B25</f>
        <v>98711.93</v>
      </c>
      <c r="C28" s="25">
        <f>(((((C7)+(C10))+(C15))+(C25))+(C26))+(C27)</f>
        <v>344450</v>
      </c>
    </row>
    <row r="29" ht="15.75" customHeight="1">
      <c r="A29" s="58" t="s">
        <v>223</v>
      </c>
      <c r="B29" s="25"/>
      <c r="C29" s="25">
        <f>C28</f>
        <v>344450</v>
      </c>
    </row>
    <row r="30" ht="15.75" customHeight="1">
      <c r="A30" s="58" t="s">
        <v>224</v>
      </c>
      <c r="B30" s="25">
        <f>B28</f>
        <v>98711.93</v>
      </c>
      <c r="C30" s="62">
        <f>(C29)-(0)</f>
        <v>344450</v>
      </c>
    </row>
    <row r="31" ht="15.75" customHeight="1">
      <c r="A31" s="58" t="s">
        <v>225</v>
      </c>
      <c r="B31" s="57"/>
      <c r="C31" s="57"/>
    </row>
    <row r="32" ht="15.75" customHeight="1">
      <c r="A32" s="58" t="s">
        <v>226</v>
      </c>
      <c r="B32" s="57"/>
      <c r="C32" s="57"/>
    </row>
    <row r="33" ht="15.75" customHeight="1">
      <c r="A33" s="58" t="s">
        <v>227</v>
      </c>
      <c r="B33" s="57"/>
      <c r="C33" s="57"/>
    </row>
    <row r="34" ht="15.75" customHeight="1">
      <c r="A34" s="58" t="s">
        <v>228</v>
      </c>
      <c r="B34" s="57"/>
      <c r="C34" s="57"/>
    </row>
    <row r="35" ht="15.75" customHeight="1">
      <c r="A35" s="58" t="s">
        <v>229</v>
      </c>
      <c r="B35" s="57"/>
      <c r="C35" s="57"/>
    </row>
    <row r="36" ht="15.75" customHeight="1">
      <c r="A36" s="58" t="s">
        <v>230</v>
      </c>
      <c r="B36" s="59">
        <v>17147.08</v>
      </c>
      <c r="C36" s="59">
        <v>34500.0</v>
      </c>
    </row>
    <row r="37" ht="15.75" customHeight="1">
      <c r="A37" s="58" t="s">
        <v>231</v>
      </c>
      <c r="B37" s="59"/>
      <c r="C37" s="59">
        <v>4500.0</v>
      </c>
    </row>
    <row r="38" ht="15.75" customHeight="1">
      <c r="A38" s="58" t="s">
        <v>232</v>
      </c>
      <c r="B38" s="59"/>
      <c r="C38" s="59">
        <v>17500.0</v>
      </c>
    </row>
    <row r="39" ht="15.75" customHeight="1">
      <c r="A39" s="58" t="s">
        <v>233</v>
      </c>
      <c r="B39" s="59">
        <v>-22.69</v>
      </c>
      <c r="C39" s="59"/>
    </row>
    <row r="40" ht="15.75" customHeight="1">
      <c r="A40" s="58" t="s">
        <v>234</v>
      </c>
      <c r="B40" s="59">
        <v>10494.24</v>
      </c>
      <c r="C40" s="59">
        <v>20280.0</v>
      </c>
    </row>
    <row r="41" ht="15.75" customHeight="1">
      <c r="A41" s="58" t="s">
        <v>235</v>
      </c>
      <c r="B41" s="59"/>
      <c r="C41" s="59">
        <v>1000.0</v>
      </c>
    </row>
    <row r="42" ht="15.75" customHeight="1">
      <c r="A42" s="58" t="s">
        <v>236</v>
      </c>
      <c r="B42" s="59">
        <v>432.3</v>
      </c>
      <c r="C42" s="59"/>
    </row>
    <row r="43" ht="15.75" customHeight="1">
      <c r="A43" s="58" t="s">
        <v>237</v>
      </c>
      <c r="B43" s="59">
        <v>1026.98</v>
      </c>
      <c r="C43" s="59">
        <v>5000.0</v>
      </c>
    </row>
    <row r="44" ht="15.75" customHeight="1">
      <c r="A44" s="58" t="s">
        <v>238</v>
      </c>
      <c r="B44" s="59"/>
      <c r="C44" s="59"/>
    </row>
    <row r="45" ht="15.75" customHeight="1">
      <c r="A45" s="58" t="s">
        <v>239</v>
      </c>
      <c r="B45" s="59"/>
      <c r="C45" s="59"/>
    </row>
    <row r="46" ht="15.75" customHeight="1">
      <c r="A46" s="58"/>
      <c r="B46" s="59"/>
      <c r="C46" s="59"/>
    </row>
    <row r="47" ht="15.75" customHeight="1">
      <c r="A47" s="58" t="s">
        <v>240</v>
      </c>
      <c r="B47" s="25">
        <f>SUM(B36:B46)</f>
        <v>29077.91</v>
      </c>
      <c r="C47" s="25">
        <f>SUM(C35:C46)</f>
        <v>82780</v>
      </c>
    </row>
    <row r="48" ht="15.75" customHeight="1">
      <c r="A48" s="58" t="s">
        <v>241</v>
      </c>
      <c r="B48" s="25">
        <f t="shared" ref="B48:C48" si="7">(B34)+(B47)</f>
        <v>29077.91</v>
      </c>
      <c r="C48" s="25">
        <f t="shared" si="7"/>
        <v>82780</v>
      </c>
    </row>
    <row r="49" ht="15.75" customHeight="1">
      <c r="A49" s="58" t="s">
        <v>242</v>
      </c>
      <c r="B49" s="57"/>
      <c r="C49" s="57"/>
    </row>
    <row r="50" ht="15.75" customHeight="1">
      <c r="A50" s="58" t="s">
        <v>243</v>
      </c>
      <c r="B50" s="59">
        <v>4622.12</v>
      </c>
      <c r="C50" s="59">
        <v>14445.6</v>
      </c>
    </row>
    <row r="51" ht="15.75" customHeight="1">
      <c r="A51" s="58" t="s">
        <v>244</v>
      </c>
      <c r="B51" s="59">
        <v>277.8</v>
      </c>
      <c r="C51" s="59">
        <v>2222.4</v>
      </c>
    </row>
    <row r="52" ht="15.75" customHeight="1">
      <c r="A52" s="58" t="s">
        <v>245</v>
      </c>
      <c r="B52" s="59">
        <v>436.78</v>
      </c>
      <c r="C52" s="59">
        <v>1389.09</v>
      </c>
    </row>
    <row r="53" ht="15.75" customHeight="1">
      <c r="A53" s="58" t="s">
        <v>246</v>
      </c>
      <c r="B53" s="59">
        <v>26.2</v>
      </c>
      <c r="C53" s="59">
        <v>1700.0</v>
      </c>
    </row>
    <row r="54" ht="15.75" customHeight="1">
      <c r="A54" s="58"/>
      <c r="B54" s="59"/>
    </row>
    <row r="55" ht="15.75" customHeight="1">
      <c r="A55" s="58" t="s">
        <v>247</v>
      </c>
      <c r="B55" s="25">
        <f>SUM(B50:B54)</f>
        <v>5362.9</v>
      </c>
      <c r="C55" s="25">
        <f>SUM(C50:C53)</f>
        <v>19757.09</v>
      </c>
    </row>
    <row r="56" ht="15.75" customHeight="1">
      <c r="A56" s="58" t="s">
        <v>248</v>
      </c>
      <c r="B56" s="57"/>
      <c r="C56" s="57"/>
    </row>
    <row r="57" ht="15.75" customHeight="1">
      <c r="A57" s="58" t="s">
        <v>249</v>
      </c>
      <c r="B57" s="59">
        <v>5882.1</v>
      </c>
      <c r="C57" s="59">
        <v>17035.2</v>
      </c>
    </row>
    <row r="58" ht="15.75" customHeight="1">
      <c r="A58" s="58" t="s">
        <v>250</v>
      </c>
      <c r="B58" s="59">
        <v>1454.79</v>
      </c>
      <c r="C58" s="59">
        <v>7098.0</v>
      </c>
    </row>
    <row r="59" ht="15.75" customHeight="1">
      <c r="A59" s="58" t="s">
        <v>251</v>
      </c>
      <c r="B59" s="59">
        <v>986.65</v>
      </c>
      <c r="C59" s="59">
        <v>3276.0</v>
      </c>
    </row>
    <row r="60" ht="15.75" customHeight="1">
      <c r="A60" s="58" t="s">
        <v>252</v>
      </c>
      <c r="B60" s="59"/>
      <c r="C60" s="59"/>
    </row>
    <row r="61" ht="15.75" customHeight="1">
      <c r="A61" s="58" t="s">
        <v>253</v>
      </c>
      <c r="B61" s="59"/>
      <c r="C61" s="59">
        <v>1200.0</v>
      </c>
    </row>
    <row r="62" ht="15.75" customHeight="1">
      <c r="A62" s="58" t="s">
        <v>254</v>
      </c>
      <c r="B62" s="59">
        <v>59.74</v>
      </c>
      <c r="C62" s="59">
        <v>1000.0</v>
      </c>
    </row>
    <row r="63" ht="15.75" customHeight="1">
      <c r="A63" s="58" t="s">
        <v>255</v>
      </c>
      <c r="B63" s="25">
        <f t="shared" ref="B63:C63" si="8">SUM(B57:B62)</f>
        <v>8383.28</v>
      </c>
      <c r="C63" s="25">
        <f t="shared" si="8"/>
        <v>29609.2</v>
      </c>
    </row>
    <row r="64" ht="15.75" customHeight="1">
      <c r="A64" s="63"/>
      <c r="B64" s="57"/>
      <c r="C64" s="57"/>
    </row>
    <row r="65" ht="15.75" customHeight="1">
      <c r="A65" s="58"/>
      <c r="B65" s="64"/>
      <c r="C65" s="64"/>
    </row>
    <row r="66" ht="15.75" customHeight="1">
      <c r="A66" s="58" t="s">
        <v>256</v>
      </c>
      <c r="B66" s="57"/>
      <c r="C66" s="57"/>
    </row>
    <row r="67" ht="15.75" customHeight="1">
      <c r="A67" s="58" t="s">
        <v>257</v>
      </c>
      <c r="B67" s="59"/>
      <c r="C67" s="59">
        <v>550.0</v>
      </c>
    </row>
    <row r="68" ht="15.75" customHeight="1">
      <c r="A68" s="58" t="s">
        <v>258</v>
      </c>
      <c r="B68" s="59">
        <v>924.63</v>
      </c>
      <c r="C68" s="59">
        <v>1387.0</v>
      </c>
    </row>
    <row r="69" ht="15.75" customHeight="1">
      <c r="A69" s="58" t="s">
        <v>259</v>
      </c>
      <c r="B69" s="59">
        <v>197.78</v>
      </c>
      <c r="C69" s="59"/>
    </row>
    <row r="70" ht="15.75" customHeight="1">
      <c r="A70" s="58" t="s">
        <v>260</v>
      </c>
      <c r="B70" s="59">
        <v>1582.37</v>
      </c>
      <c r="C70" s="59"/>
    </row>
    <row r="71" ht="15.75" customHeight="1">
      <c r="A71" s="58" t="s">
        <v>261</v>
      </c>
      <c r="B71" s="59"/>
      <c r="C71" s="59">
        <f>140</f>
        <v>140</v>
      </c>
    </row>
    <row r="72" ht="15.75" customHeight="1">
      <c r="A72" s="58" t="s">
        <v>262</v>
      </c>
      <c r="B72" s="25">
        <f>SUM(B67:B71)</f>
        <v>2704.78</v>
      </c>
      <c r="C72" s="25">
        <f>(((C66)+(C67))+(C68))+(C71)</f>
        <v>2077</v>
      </c>
    </row>
    <row r="73" ht="15.75" customHeight="1">
      <c r="A73" s="58" t="s">
        <v>263</v>
      </c>
      <c r="B73" s="25">
        <f>B48+B55+B63+B72</f>
        <v>45528.87</v>
      </c>
      <c r="C73" s="25">
        <f>((((C33)+(C48))+(C55))+(C63))+(C72)</f>
        <v>134223.29</v>
      </c>
    </row>
    <row r="74" ht="15.75" customHeight="1">
      <c r="A74" s="58" t="s">
        <v>264</v>
      </c>
      <c r="B74" s="57"/>
      <c r="C74" s="57"/>
    </row>
    <row r="75" ht="15.75" customHeight="1">
      <c r="A75" s="58" t="s">
        <v>265</v>
      </c>
      <c r="B75" s="57"/>
      <c r="C75" s="57"/>
    </row>
    <row r="76" ht="15.75" customHeight="1">
      <c r="A76" s="58" t="s">
        <v>266</v>
      </c>
      <c r="B76" s="59">
        <v>0.0</v>
      </c>
      <c r="C76" s="59">
        <v>4000.0</v>
      </c>
    </row>
    <row r="77" ht="15.75" customHeight="1">
      <c r="A77" s="58" t="s">
        <v>267</v>
      </c>
      <c r="B77" s="25">
        <f t="shared" ref="B77:C77" si="9">(B75)+(B76)</f>
        <v>0</v>
      </c>
      <c r="C77" s="25">
        <f t="shared" si="9"/>
        <v>4000</v>
      </c>
    </row>
    <row r="78" ht="15.75" customHeight="1">
      <c r="A78" s="58" t="s">
        <v>268</v>
      </c>
      <c r="B78" s="59"/>
      <c r="C78" s="59">
        <v>55000.0</v>
      </c>
    </row>
    <row r="79" ht="15.75" customHeight="1">
      <c r="A79" s="58" t="s">
        <v>269</v>
      </c>
      <c r="B79" s="59"/>
      <c r="C79" s="59"/>
    </row>
    <row r="80" ht="15.75" customHeight="1">
      <c r="A80" s="58" t="s">
        <v>270</v>
      </c>
      <c r="B80" s="59">
        <v>30000.0</v>
      </c>
      <c r="C80" s="59">
        <v>90000.0</v>
      </c>
    </row>
    <row r="81" ht="15.75" customHeight="1">
      <c r="A81" s="58" t="s">
        <v>271</v>
      </c>
      <c r="B81" s="59"/>
      <c r="C81" s="59"/>
    </row>
    <row r="82" ht="15.75" customHeight="1">
      <c r="A82" s="58" t="s">
        <v>272</v>
      </c>
      <c r="B82" s="57"/>
      <c r="C82" s="57"/>
    </row>
    <row r="83" ht="15.75" customHeight="1">
      <c r="A83" s="58" t="s">
        <v>273</v>
      </c>
      <c r="B83" s="57"/>
      <c r="C83" s="57">
        <v>5000.0</v>
      </c>
    </row>
    <row r="84" ht="15.75" customHeight="1">
      <c r="A84" s="58" t="s">
        <v>274</v>
      </c>
      <c r="B84" s="59"/>
      <c r="C84" s="59">
        <f t="shared" ref="C84:C85" si="10">2000</f>
        <v>2000</v>
      </c>
    </row>
    <row r="85" ht="15.75" customHeight="1">
      <c r="A85" s="58" t="s">
        <v>275</v>
      </c>
      <c r="B85" s="59"/>
      <c r="C85" s="59">
        <f t="shared" si="10"/>
        <v>2000</v>
      </c>
    </row>
    <row r="86" ht="15.75" customHeight="1">
      <c r="A86" s="58" t="s">
        <v>276</v>
      </c>
      <c r="B86" s="59"/>
      <c r="C86" s="59">
        <f>1000</f>
        <v>1000</v>
      </c>
    </row>
    <row r="87" ht="15.75" customHeight="1">
      <c r="A87" s="58" t="s">
        <v>277</v>
      </c>
      <c r="B87" s="25">
        <f>(((B82)+(B84))+(B85))+(B86)</f>
        <v>0</v>
      </c>
      <c r="C87" s="25">
        <f>SUM(C83:C86)</f>
        <v>10000</v>
      </c>
    </row>
    <row r="88" ht="15.75" customHeight="1">
      <c r="A88" s="58" t="s">
        <v>278</v>
      </c>
      <c r="B88" s="25">
        <f>(((((B74)+(B77))+(B78))+(B79))+(B80))+B81+(B87)</f>
        <v>30000</v>
      </c>
      <c r="C88" s="25">
        <f>(((((C74)+(C77))+(C78))+(C79))+(C80))+(C87)</f>
        <v>159000</v>
      </c>
    </row>
    <row r="89" ht="15.75" customHeight="1">
      <c r="A89" s="58" t="s">
        <v>279</v>
      </c>
      <c r="B89" s="57"/>
      <c r="C89" s="57"/>
    </row>
    <row r="90" ht="15.75" customHeight="1">
      <c r="A90" s="58" t="s">
        <v>280</v>
      </c>
      <c r="B90" s="57"/>
      <c r="C90" s="57"/>
    </row>
    <row r="91" ht="15.75" customHeight="1">
      <c r="A91" s="58" t="s">
        <v>281</v>
      </c>
      <c r="B91" s="59"/>
      <c r="C91" s="59"/>
    </row>
    <row r="92" ht="15.75" customHeight="1">
      <c r="A92" s="58" t="s">
        <v>282</v>
      </c>
      <c r="B92" s="65"/>
      <c r="C92" s="59">
        <v>0.0</v>
      </c>
    </row>
    <row r="93" ht="15.75" customHeight="1">
      <c r="A93" s="58" t="s">
        <v>283</v>
      </c>
      <c r="B93" s="59">
        <v>280.87</v>
      </c>
      <c r="C93" s="59">
        <v>900.0</v>
      </c>
    </row>
    <row r="94" ht="15.75" customHeight="1">
      <c r="A94" s="58" t="s">
        <v>284</v>
      </c>
      <c r="B94" s="59"/>
      <c r="C94" s="59">
        <v>100.0</v>
      </c>
    </row>
    <row r="95" ht="15.75" customHeight="1">
      <c r="A95" s="58" t="s">
        <v>285</v>
      </c>
      <c r="B95" s="59">
        <v>150.0</v>
      </c>
      <c r="C95" s="59">
        <v>700.0</v>
      </c>
    </row>
    <row r="96" ht="15.75" customHeight="1">
      <c r="A96" s="58" t="s">
        <v>286</v>
      </c>
      <c r="B96" s="59"/>
      <c r="C96" s="59">
        <v>0.0</v>
      </c>
    </row>
    <row r="97" ht="15.75" customHeight="1">
      <c r="A97" s="58" t="s">
        <v>287</v>
      </c>
      <c r="B97" s="59"/>
      <c r="C97" s="59">
        <f>2000</f>
        <v>2000</v>
      </c>
    </row>
    <row r="98" ht="15.75" customHeight="1">
      <c r="A98" s="58" t="s">
        <v>288</v>
      </c>
      <c r="B98" s="59">
        <v>1771.91</v>
      </c>
      <c r="C98" s="59">
        <v>4000.0</v>
      </c>
    </row>
    <row r="99" ht="15.75" customHeight="1">
      <c r="A99" s="58" t="s">
        <v>289</v>
      </c>
      <c r="B99" s="59">
        <v>100.0</v>
      </c>
      <c r="C99" s="59">
        <f>2000</f>
        <v>2000</v>
      </c>
    </row>
    <row r="100" ht="15.75" customHeight="1">
      <c r="A100" s="58" t="s">
        <v>290</v>
      </c>
      <c r="B100" s="59"/>
      <c r="C100" s="59">
        <v>615.0</v>
      </c>
    </row>
    <row r="101" ht="15.75" customHeight="1">
      <c r="A101" s="58" t="s">
        <v>291</v>
      </c>
      <c r="B101" s="59">
        <v>109.02</v>
      </c>
      <c r="C101" s="59">
        <v>1000.0</v>
      </c>
    </row>
    <row r="102" ht="15.75" customHeight="1">
      <c r="A102" s="58" t="s">
        <v>292</v>
      </c>
      <c r="B102" s="59">
        <v>990.0</v>
      </c>
      <c r="C102" s="59">
        <v>2952.0</v>
      </c>
    </row>
    <row r="103" ht="15.75" customHeight="1">
      <c r="A103" s="58" t="s">
        <v>293</v>
      </c>
      <c r="B103" s="59"/>
      <c r="C103" s="59">
        <v>3000.0</v>
      </c>
    </row>
    <row r="104" ht="15.75" customHeight="1">
      <c r="A104" s="58" t="s">
        <v>294</v>
      </c>
      <c r="B104" s="59">
        <v>700.0</v>
      </c>
      <c r="C104" s="59">
        <v>2100.0</v>
      </c>
    </row>
    <row r="105" ht="15.75" customHeight="1">
      <c r="A105" s="58" t="s">
        <v>295</v>
      </c>
      <c r="B105" s="59">
        <v>100.0</v>
      </c>
      <c r="C105" s="59"/>
    </row>
    <row r="106" ht="15.75" customHeight="1">
      <c r="A106" s="58" t="s">
        <v>296</v>
      </c>
      <c r="B106" s="59"/>
      <c r="C106" s="59"/>
    </row>
    <row r="107" ht="15.75" customHeight="1">
      <c r="A107" s="58" t="s">
        <v>297</v>
      </c>
      <c r="B107" s="25">
        <f t="shared" ref="B107:C107" si="11">SUM(B91:B106)</f>
        <v>4201.8</v>
      </c>
      <c r="C107" s="25">
        <f t="shared" si="11"/>
        <v>19367</v>
      </c>
    </row>
    <row r="108" ht="15.75" customHeight="1">
      <c r="A108" s="58" t="s">
        <v>298</v>
      </c>
      <c r="B108" s="57"/>
      <c r="C108" s="57"/>
    </row>
    <row r="109" ht="15.75" customHeight="1">
      <c r="A109" s="58" t="s">
        <v>299</v>
      </c>
      <c r="B109" s="59">
        <v>1141.19</v>
      </c>
      <c r="C109" s="59">
        <v>4000.0</v>
      </c>
    </row>
    <row r="110" ht="15.75" customHeight="1">
      <c r="A110" s="58" t="s">
        <v>300</v>
      </c>
      <c r="B110" s="59">
        <v>14418.98</v>
      </c>
      <c r="C110" s="59">
        <v>15329.75</v>
      </c>
    </row>
    <row r="111" ht="15.75" customHeight="1">
      <c r="A111" s="58" t="s">
        <v>301</v>
      </c>
      <c r="B111" s="59"/>
      <c r="C111" s="59">
        <v>32390.86</v>
      </c>
    </row>
    <row r="112" ht="15.75" customHeight="1">
      <c r="A112" s="58" t="s">
        <v>302</v>
      </c>
      <c r="B112" s="59">
        <v>7850.0</v>
      </c>
      <c r="C112" s="59">
        <f>2000</f>
        <v>2000</v>
      </c>
    </row>
    <row r="113" ht="15.75" customHeight="1">
      <c r="A113" s="58" t="s">
        <v>303</v>
      </c>
      <c r="B113" s="59">
        <v>14818.98</v>
      </c>
      <c r="C113" s="59">
        <v>0.0</v>
      </c>
    </row>
    <row r="114" ht="15.75" customHeight="1">
      <c r="A114" s="58" t="s">
        <v>304</v>
      </c>
      <c r="B114" s="59"/>
      <c r="C114" s="59">
        <v>500.0</v>
      </c>
    </row>
    <row r="115" ht="15.75" customHeight="1">
      <c r="A115" s="58" t="s">
        <v>305</v>
      </c>
      <c r="B115" s="59"/>
      <c r="C115" s="59">
        <v>0.0</v>
      </c>
    </row>
    <row r="116" ht="15.75" customHeight="1">
      <c r="A116" s="58" t="s">
        <v>306</v>
      </c>
      <c r="B116" s="59"/>
      <c r="C116" s="59"/>
    </row>
    <row r="117" ht="15.75" customHeight="1">
      <c r="A117" s="58" t="s">
        <v>307</v>
      </c>
      <c r="B117" s="57"/>
      <c r="C117" s="57"/>
    </row>
    <row r="118" ht="15.75" customHeight="1">
      <c r="A118" s="58" t="s">
        <v>308</v>
      </c>
      <c r="B118" s="59">
        <v>667.27</v>
      </c>
      <c r="C118" s="59">
        <v>3000.0</v>
      </c>
    </row>
    <row r="119" ht="15.75" customHeight="1">
      <c r="A119" s="58" t="s">
        <v>309</v>
      </c>
      <c r="B119" s="59"/>
      <c r="C119" s="59"/>
    </row>
    <row r="120" ht="15.75" customHeight="1">
      <c r="A120" s="58" t="s">
        <v>310</v>
      </c>
      <c r="B120" s="59">
        <v>1010.0</v>
      </c>
      <c r="C120" s="59">
        <f>5000</f>
        <v>5000</v>
      </c>
    </row>
    <row r="121" ht="15.75" customHeight="1">
      <c r="A121" s="58" t="s">
        <v>311</v>
      </c>
      <c r="B121" s="25">
        <f>SUM(B118:B120)</f>
        <v>1677.27</v>
      </c>
      <c r="C121" s="25">
        <f>((C117)+(C118))+(C120)</f>
        <v>8000</v>
      </c>
    </row>
    <row r="122" ht="15.75" customHeight="1">
      <c r="A122" s="58"/>
      <c r="B122" s="59"/>
      <c r="C122" s="59"/>
    </row>
    <row r="123" ht="15.75" customHeight="1">
      <c r="A123" s="58" t="s">
        <v>312</v>
      </c>
      <c r="B123" s="57"/>
      <c r="C123" s="57"/>
    </row>
    <row r="124" ht="15.75" customHeight="1">
      <c r="A124" s="58" t="s">
        <v>313</v>
      </c>
      <c r="B124" s="59"/>
      <c r="C124" s="59">
        <v>8500.0</v>
      </c>
    </row>
    <row r="125" ht="15.75" customHeight="1">
      <c r="A125" s="58" t="s">
        <v>314</v>
      </c>
      <c r="B125" s="25">
        <f t="shared" ref="B125:C125" si="12">(B123)+(B124)</f>
        <v>0</v>
      </c>
      <c r="C125" s="25">
        <f t="shared" si="12"/>
        <v>8500</v>
      </c>
    </row>
    <row r="126" ht="15.75" customHeight="1">
      <c r="A126" s="58" t="s">
        <v>315</v>
      </c>
      <c r="B126" s="25">
        <f t="shared" ref="B126:C126" si="13">B109+B110+B111+B112+B113+B114+B115+B116+B121+B124</f>
        <v>39906.42</v>
      </c>
      <c r="C126" s="62">
        <f t="shared" si="13"/>
        <v>70720.61</v>
      </c>
    </row>
    <row r="127" ht="15.75" customHeight="1">
      <c r="A127" s="58" t="s">
        <v>316</v>
      </c>
      <c r="B127" s="25">
        <f t="shared" ref="B127:C127" si="14">((B89)+(B107))+(B126)</f>
        <v>44108.22</v>
      </c>
      <c r="C127" s="25">
        <f t="shared" si="14"/>
        <v>90087.61</v>
      </c>
    </row>
    <row r="128" ht="15.75" customHeight="1">
      <c r="A128" s="58" t="s">
        <v>317</v>
      </c>
      <c r="B128" s="25">
        <f t="shared" ref="B128:C128" si="15">(((B32)+(B73))+(B88))+(B127)</f>
        <v>119637.09</v>
      </c>
      <c r="C128" s="25">
        <f t="shared" si="15"/>
        <v>383310.9</v>
      </c>
    </row>
    <row r="129" ht="15.75" customHeight="1">
      <c r="A129" s="58" t="s">
        <v>318</v>
      </c>
      <c r="B129" s="62">
        <f t="shared" ref="B129:C129" si="16">B128</f>
        <v>119637.09</v>
      </c>
      <c r="C129" s="25">
        <f t="shared" si="16"/>
        <v>383310.9</v>
      </c>
    </row>
    <row r="130" ht="15.75" customHeight="1">
      <c r="A130" s="58" t="s">
        <v>319</v>
      </c>
      <c r="B130" s="25">
        <f>B30-B129</f>
        <v>-20925.16</v>
      </c>
      <c r="C130" s="25">
        <f>(C30)-(C129)</f>
        <v>-38860.9</v>
      </c>
    </row>
    <row r="131" ht="15.75" customHeight="1">
      <c r="A131" s="58" t="s">
        <v>320</v>
      </c>
      <c r="B131" s="25">
        <f t="shared" ref="B131:C131" si="17">(B130)+(0)</f>
        <v>-20925.16</v>
      </c>
      <c r="C131" s="25">
        <f t="shared" si="17"/>
        <v>-38860.9</v>
      </c>
    </row>
    <row r="132" ht="15.75" customHeight="1">
      <c r="A132" s="56"/>
      <c r="B132" s="56"/>
      <c r="C132" s="57"/>
    </row>
    <row r="133" ht="15.75" customHeight="1"/>
    <row r="134" ht="15.75" customHeight="1"/>
    <row r="135" ht="15.75" customHeight="1">
      <c r="A135" s="66" t="s">
        <v>321</v>
      </c>
      <c r="B135" s="67" t="str">
        <f>'[1]Camp YTD Budget'!C176</f>
        <v>#REF!</v>
      </c>
    </row>
    <row r="136" ht="15.75" customHeight="1">
      <c r="B136" s="67"/>
    </row>
    <row r="137" ht="15.75" customHeight="1">
      <c r="A137" s="66" t="s">
        <v>322</v>
      </c>
      <c r="B137" s="67">
        <v>2236.25</v>
      </c>
    </row>
    <row r="138" ht="15.75" customHeight="1">
      <c r="A138" s="66" t="s">
        <v>323</v>
      </c>
      <c r="B138" s="67" t="str">
        <f t="shared" ref="B138:B140" si="18">'[1]Camp YTD Budget'!B181</f>
        <v>#REF!</v>
      </c>
    </row>
    <row r="139" ht="15.75" customHeight="1">
      <c r="A139" s="66" t="s">
        <v>324</v>
      </c>
      <c r="B139" s="67" t="str">
        <f t="shared" si="18"/>
        <v>#REF!</v>
      </c>
    </row>
    <row r="140" ht="15.75" customHeight="1">
      <c r="A140" s="66" t="s">
        <v>325</v>
      </c>
      <c r="B140" s="67" t="str">
        <f t="shared" si="18"/>
        <v>#REF!</v>
      </c>
    </row>
    <row r="141" ht="15.75" customHeight="1">
      <c r="B141" s="67"/>
    </row>
    <row r="142" ht="15.75" customHeight="1">
      <c r="A142" s="68" t="s">
        <v>326</v>
      </c>
      <c r="B142" s="69" t="str">
        <f>SUM(B131:B140)</f>
        <v>#REF!</v>
      </c>
    </row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29"/>
    <col customWidth="1" min="2" max="3" width="10.43"/>
    <col customWidth="1" min="4" max="26" width="8.71"/>
  </cols>
  <sheetData>
    <row r="1">
      <c r="A1" s="51" t="s">
        <v>46</v>
      </c>
    </row>
    <row r="2">
      <c r="A2" s="51" t="s">
        <v>327</v>
      </c>
    </row>
    <row r="3">
      <c r="A3" s="61" t="s">
        <v>1</v>
      </c>
    </row>
    <row r="5">
      <c r="A5" s="53"/>
      <c r="B5" s="54" t="s">
        <v>49</v>
      </c>
      <c r="C5" s="54" t="s">
        <v>49</v>
      </c>
    </row>
    <row r="6">
      <c r="A6" s="53"/>
      <c r="B6" s="70"/>
      <c r="C6" s="70"/>
    </row>
    <row r="7">
      <c r="A7" s="56" t="s">
        <v>202</v>
      </c>
      <c r="B7" s="57"/>
      <c r="C7" s="57"/>
    </row>
    <row r="8">
      <c r="A8" s="58" t="s">
        <v>328</v>
      </c>
      <c r="B8" s="57"/>
      <c r="C8" s="57"/>
    </row>
    <row r="9">
      <c r="A9" s="58" t="s">
        <v>329</v>
      </c>
      <c r="B9" s="57"/>
      <c r="C9" s="57"/>
    </row>
    <row r="10">
      <c r="A10" s="58" t="s">
        <v>330</v>
      </c>
      <c r="B10" s="59">
        <v>46015.12</v>
      </c>
      <c r="C10" s="59">
        <v>129000.0</v>
      </c>
    </row>
    <row r="11">
      <c r="A11" s="58" t="s">
        <v>331</v>
      </c>
      <c r="B11" s="59">
        <v>5100.0</v>
      </c>
      <c r="C11" s="59">
        <v>33000.0</v>
      </c>
    </row>
    <row r="12">
      <c r="A12" s="58" t="s">
        <v>332</v>
      </c>
      <c r="B12" s="59">
        <v>1075.0</v>
      </c>
      <c r="C12" s="59">
        <v>5000.0</v>
      </c>
    </row>
    <row r="13">
      <c r="A13" s="58" t="s">
        <v>333</v>
      </c>
      <c r="B13" s="59">
        <v>240.0</v>
      </c>
      <c r="C13" s="59">
        <v>12000.0</v>
      </c>
    </row>
    <row r="14">
      <c r="A14" s="63"/>
      <c r="B14" s="59"/>
      <c r="C14" s="59"/>
    </row>
    <row r="15">
      <c r="A15" s="58" t="s">
        <v>334</v>
      </c>
      <c r="B15" s="25">
        <f t="shared" ref="B15:C15" si="1">SUM(B10:B14)</f>
        <v>52430.12</v>
      </c>
      <c r="C15" s="25">
        <f t="shared" si="1"/>
        <v>179000</v>
      </c>
    </row>
    <row r="16">
      <c r="A16" s="58" t="s">
        <v>335</v>
      </c>
      <c r="B16" s="57"/>
      <c r="C16" s="57"/>
    </row>
    <row r="17">
      <c r="A17" s="58" t="s">
        <v>336</v>
      </c>
      <c r="B17" s="57"/>
      <c r="C17" s="57"/>
    </row>
    <row r="18">
      <c r="A18" s="58" t="s">
        <v>337</v>
      </c>
      <c r="B18" s="59">
        <f>26645.16</f>
        <v>26645.16</v>
      </c>
      <c r="C18" s="59">
        <v>25000.0</v>
      </c>
    </row>
    <row r="19">
      <c r="A19" s="58" t="s">
        <v>338</v>
      </c>
      <c r="B19" s="59">
        <f>5929</f>
        <v>5929</v>
      </c>
      <c r="C19" s="59">
        <v>5500.0</v>
      </c>
    </row>
    <row r="20">
      <c r="A20" s="58" t="s">
        <v>339</v>
      </c>
      <c r="B20" s="59">
        <f>10000</f>
        <v>10000</v>
      </c>
      <c r="C20" s="59">
        <v>25000.0</v>
      </c>
    </row>
    <row r="21" ht="15.75" customHeight="1">
      <c r="A21" s="58" t="s">
        <v>340</v>
      </c>
      <c r="B21" s="59">
        <v>3943.64</v>
      </c>
      <c r="C21" s="59">
        <v>5500.0</v>
      </c>
    </row>
    <row r="22" ht="15.75" customHeight="1">
      <c r="A22" s="58" t="s">
        <v>341</v>
      </c>
      <c r="B22" s="59"/>
      <c r="C22" s="59">
        <v>3000.0</v>
      </c>
    </row>
    <row r="23" ht="15.75" customHeight="1">
      <c r="A23" s="58" t="s">
        <v>342</v>
      </c>
      <c r="B23" s="59">
        <v>30000.0</v>
      </c>
      <c r="C23" s="59">
        <v>90000.0</v>
      </c>
    </row>
    <row r="24" ht="15.75" customHeight="1">
      <c r="A24" s="58" t="s">
        <v>343</v>
      </c>
      <c r="B24" s="59">
        <v>1000.0</v>
      </c>
      <c r="C24" s="59">
        <v>1000.0</v>
      </c>
    </row>
    <row r="25" ht="15.75" customHeight="1">
      <c r="A25" s="58" t="s">
        <v>344</v>
      </c>
      <c r="B25" s="25">
        <f t="shared" ref="B25:C25" si="2">SUM(B18:B24)</f>
        <v>77517.8</v>
      </c>
      <c r="C25" s="25">
        <f t="shared" si="2"/>
        <v>155000</v>
      </c>
    </row>
    <row r="26" ht="15.75" customHeight="1">
      <c r="A26" s="58" t="s">
        <v>345</v>
      </c>
      <c r="B26" s="59"/>
      <c r="C26" s="59">
        <v>1136.4</v>
      </c>
    </row>
    <row r="27" ht="15.75" customHeight="1">
      <c r="A27" s="58" t="s">
        <v>346</v>
      </c>
      <c r="B27" s="59"/>
      <c r="C27" s="59"/>
    </row>
    <row r="28" ht="15.75" customHeight="1">
      <c r="A28" s="58" t="s">
        <v>347</v>
      </c>
      <c r="B28" s="71">
        <v>16.15</v>
      </c>
      <c r="C28" s="59">
        <v>50.0</v>
      </c>
    </row>
    <row r="29" ht="15.75" customHeight="1">
      <c r="A29" s="58" t="s">
        <v>348</v>
      </c>
      <c r="B29" s="59"/>
      <c r="C29" s="59">
        <f>7500</f>
        <v>7500</v>
      </c>
    </row>
    <row r="30" ht="15.75" customHeight="1">
      <c r="A30" s="58" t="s">
        <v>349</v>
      </c>
      <c r="B30" s="59">
        <v>195.0</v>
      </c>
      <c r="C30" s="59"/>
    </row>
    <row r="31" ht="15.75" customHeight="1">
      <c r="A31" s="58" t="s">
        <v>350</v>
      </c>
      <c r="B31" s="59"/>
      <c r="C31" s="59">
        <v>2500.0</v>
      </c>
    </row>
    <row r="32" ht="15.75" customHeight="1">
      <c r="A32" s="58"/>
      <c r="B32" s="59"/>
      <c r="C32" s="59"/>
    </row>
    <row r="33" ht="15.75" customHeight="1">
      <c r="A33" s="58" t="s">
        <v>351</v>
      </c>
      <c r="B33" s="25">
        <f>B25+B26+B28+B29+B30+B31</f>
        <v>77728.95</v>
      </c>
      <c r="C33" s="25">
        <f>C25+C26+C28+C29+C31</f>
        <v>166186.4</v>
      </c>
    </row>
    <row r="34" ht="15.75" customHeight="1">
      <c r="A34" s="58" t="s">
        <v>352</v>
      </c>
      <c r="B34" s="25">
        <f t="shared" ref="B34:C34" si="3">((B8)+(B15))+(B33)</f>
        <v>130159.07</v>
      </c>
      <c r="C34" s="25">
        <f t="shared" si="3"/>
        <v>345186.4</v>
      </c>
    </row>
    <row r="35" ht="15.75" customHeight="1">
      <c r="A35" s="58" t="s">
        <v>223</v>
      </c>
      <c r="B35" s="25">
        <f t="shared" ref="B35:C35" si="4">B34</f>
        <v>130159.07</v>
      </c>
      <c r="C35" s="25">
        <f t="shared" si="4"/>
        <v>345186.4</v>
      </c>
    </row>
    <row r="36" ht="15.75" customHeight="1">
      <c r="A36" s="58" t="s">
        <v>224</v>
      </c>
      <c r="B36" s="62">
        <f t="shared" ref="B36:C36" si="5">(B35)-(0)</f>
        <v>130159.07</v>
      </c>
      <c r="C36" s="25">
        <f t="shared" si="5"/>
        <v>345186.4</v>
      </c>
    </row>
    <row r="37" ht="15.75" customHeight="1">
      <c r="A37" s="58" t="s">
        <v>225</v>
      </c>
      <c r="B37" s="57"/>
      <c r="C37" s="57"/>
    </row>
    <row r="38" ht="15.75" customHeight="1">
      <c r="A38" s="58" t="s">
        <v>353</v>
      </c>
      <c r="B38" s="57"/>
      <c r="C38" s="57"/>
    </row>
    <row r="39" ht="15.75" customHeight="1">
      <c r="A39" s="58" t="s">
        <v>354</v>
      </c>
      <c r="B39" s="57"/>
      <c r="C39" s="57"/>
    </row>
    <row r="40" ht="15.75" customHeight="1">
      <c r="A40" s="58" t="s">
        <v>355</v>
      </c>
      <c r="B40" s="59"/>
      <c r="C40" s="59">
        <v>4400.0</v>
      </c>
    </row>
    <row r="41" ht="15.75" customHeight="1">
      <c r="A41" s="58" t="s">
        <v>356</v>
      </c>
      <c r="B41" s="59"/>
      <c r="C41" s="59"/>
    </row>
    <row r="42" ht="15.75" customHeight="1">
      <c r="A42" s="58" t="s">
        <v>357</v>
      </c>
      <c r="B42" s="59"/>
      <c r="C42" s="59"/>
    </row>
    <row r="43" ht="15.75" customHeight="1">
      <c r="A43" s="58" t="s">
        <v>358</v>
      </c>
      <c r="B43" s="59"/>
      <c r="C43" s="59">
        <v>10400.0</v>
      </c>
    </row>
    <row r="44" ht="15.75" customHeight="1">
      <c r="A44" s="58" t="s">
        <v>359</v>
      </c>
      <c r="B44" s="59"/>
      <c r="C44" s="59">
        <v>4600.0</v>
      </c>
    </row>
    <row r="45" ht="15.75" customHeight="1">
      <c r="A45" s="58" t="s">
        <v>360</v>
      </c>
      <c r="B45" s="59"/>
      <c r="C45" s="59"/>
    </row>
    <row r="46" ht="15.75" customHeight="1">
      <c r="A46" s="58" t="s">
        <v>361</v>
      </c>
      <c r="B46" s="59"/>
      <c r="C46" s="59">
        <v>7000.0</v>
      </c>
    </row>
    <row r="47" ht="15.75" customHeight="1">
      <c r="A47" s="58" t="s">
        <v>362</v>
      </c>
      <c r="B47" s="59"/>
      <c r="C47" s="59"/>
    </row>
    <row r="48" ht="15.75" customHeight="1">
      <c r="A48" s="58" t="s">
        <v>363</v>
      </c>
      <c r="B48" s="59"/>
      <c r="C48" s="59"/>
    </row>
    <row r="49" ht="15.75" customHeight="1">
      <c r="A49" s="72" t="s">
        <v>364</v>
      </c>
      <c r="B49" s="59"/>
      <c r="C49" s="59"/>
    </row>
    <row r="50" ht="15.75" customHeight="1">
      <c r="A50" s="58" t="s">
        <v>365</v>
      </c>
      <c r="B50" s="59"/>
      <c r="C50" s="59"/>
    </row>
    <row r="51" ht="15.75" customHeight="1">
      <c r="A51" s="58" t="s">
        <v>366</v>
      </c>
      <c r="B51" s="59"/>
      <c r="C51" s="59"/>
    </row>
    <row r="52" ht="15.75" customHeight="1">
      <c r="A52" s="58" t="s">
        <v>367</v>
      </c>
      <c r="B52" s="59"/>
      <c r="C52" s="59"/>
    </row>
    <row r="53" ht="15.75" customHeight="1">
      <c r="A53" s="58" t="s">
        <v>368</v>
      </c>
      <c r="B53" s="59"/>
      <c r="C53" s="59">
        <v>4200.0</v>
      </c>
    </row>
    <row r="54" ht="15.75" customHeight="1">
      <c r="A54" s="58" t="s">
        <v>369</v>
      </c>
      <c r="B54" s="59"/>
      <c r="C54" s="59"/>
    </row>
    <row r="55" ht="15.75" customHeight="1">
      <c r="A55" s="58" t="s">
        <v>370</v>
      </c>
      <c r="B55" s="59">
        <v>3783.89</v>
      </c>
      <c r="C55" s="59">
        <v>2600.0</v>
      </c>
    </row>
    <row r="56" ht="15.75" customHeight="1">
      <c r="A56" s="58" t="s">
        <v>371</v>
      </c>
      <c r="B56" s="59"/>
      <c r="C56" s="59">
        <v>31500.0</v>
      </c>
    </row>
    <row r="57" ht="15.75" customHeight="1">
      <c r="A57" s="58" t="s">
        <v>372</v>
      </c>
      <c r="B57" s="73">
        <f>SUM(B38:B56)</f>
        <v>3783.89</v>
      </c>
      <c r="C57" s="25">
        <f>SUM(C40:C56)</f>
        <v>64700</v>
      </c>
    </row>
    <row r="58" ht="15.75" customHeight="1">
      <c r="A58" s="58" t="s">
        <v>373</v>
      </c>
      <c r="B58" s="57"/>
      <c r="C58" s="57"/>
    </row>
    <row r="59" ht="15.75" customHeight="1">
      <c r="A59" s="58"/>
      <c r="B59" s="59"/>
      <c r="C59" s="59"/>
    </row>
    <row r="60" ht="15.75" customHeight="1">
      <c r="A60" s="58" t="s">
        <v>374</v>
      </c>
      <c r="B60" s="57"/>
      <c r="C60" s="57"/>
    </row>
    <row r="61" ht="15.75" customHeight="1">
      <c r="A61" s="58" t="s">
        <v>375</v>
      </c>
      <c r="B61" s="59">
        <v>22802.63</v>
      </c>
      <c r="C61" s="59">
        <v>74880.0</v>
      </c>
    </row>
    <row r="62" ht="15.75" customHeight="1">
      <c r="A62" s="58" t="s">
        <v>376</v>
      </c>
      <c r="B62" s="59">
        <v>4785.4</v>
      </c>
      <c r="C62" s="59">
        <v>14000.0</v>
      </c>
    </row>
    <row r="63" ht="15.75" customHeight="1">
      <c r="A63" s="58" t="s">
        <v>377</v>
      </c>
      <c r="B63" s="62">
        <f t="shared" ref="B63:C63" si="6">((B60)+(B61))+(B62)</f>
        <v>27588.03</v>
      </c>
      <c r="C63" s="25">
        <f t="shared" si="6"/>
        <v>88880</v>
      </c>
    </row>
    <row r="64" ht="15.75" customHeight="1">
      <c r="A64" s="58" t="s">
        <v>378</v>
      </c>
      <c r="B64" s="57"/>
      <c r="C64" s="57"/>
    </row>
    <row r="65" ht="15.75" customHeight="1">
      <c r="A65" s="58" t="s">
        <v>379</v>
      </c>
      <c r="B65" s="59">
        <v>4252.96</v>
      </c>
      <c r="C65" s="59">
        <v>27000.0</v>
      </c>
    </row>
    <row r="66" ht="15.75" customHeight="1">
      <c r="A66" s="58" t="s">
        <v>380</v>
      </c>
      <c r="B66" s="25">
        <f t="shared" ref="B66:C66" si="7">(B64)+(B65)</f>
        <v>4252.96</v>
      </c>
      <c r="C66" s="25">
        <f t="shared" si="7"/>
        <v>27000</v>
      </c>
    </row>
    <row r="67" ht="15.75" customHeight="1">
      <c r="A67" s="58" t="s">
        <v>381</v>
      </c>
      <c r="B67" s="57"/>
      <c r="C67" s="57"/>
    </row>
    <row r="68" ht="15.75" customHeight="1">
      <c r="A68" s="58" t="s">
        <v>382</v>
      </c>
      <c r="B68" s="59"/>
      <c r="C68" s="59"/>
    </row>
    <row r="69" ht="15.75" customHeight="1">
      <c r="A69" s="58" t="s">
        <v>383</v>
      </c>
      <c r="B69" s="57"/>
      <c r="C69" s="57">
        <v>16000.0</v>
      </c>
    </row>
    <row r="70" ht="15.75" customHeight="1">
      <c r="A70" s="58" t="s">
        <v>384</v>
      </c>
      <c r="B70" s="59"/>
      <c r="C70" s="59">
        <v>0.0</v>
      </c>
    </row>
    <row r="71" ht="15.75" customHeight="1">
      <c r="A71" s="58"/>
      <c r="B71" s="59"/>
      <c r="C71" s="59"/>
    </row>
    <row r="72" ht="15.75" customHeight="1">
      <c r="A72" s="58"/>
      <c r="B72" s="25"/>
      <c r="C72" s="25"/>
    </row>
    <row r="73" ht="15.75" customHeight="1">
      <c r="A73" s="58" t="s">
        <v>385</v>
      </c>
      <c r="B73" s="73">
        <f>B63+B66+B68+B70</f>
        <v>31840.99</v>
      </c>
      <c r="C73" s="25">
        <f>C63+C66+C68+C69</f>
        <v>131880</v>
      </c>
    </row>
    <row r="74" ht="15.75" customHeight="1">
      <c r="A74" s="58" t="s">
        <v>386</v>
      </c>
      <c r="B74" s="57"/>
      <c r="C74" s="57"/>
    </row>
    <row r="75" ht="15.75" customHeight="1">
      <c r="A75" s="58" t="s">
        <v>387</v>
      </c>
      <c r="B75" s="59">
        <v>2773.88</v>
      </c>
      <c r="C75" s="59">
        <v>4200.0</v>
      </c>
    </row>
    <row r="76" ht="15.75" customHeight="1">
      <c r="A76" s="58" t="s">
        <v>388</v>
      </c>
      <c r="B76" s="59">
        <v>2813.63</v>
      </c>
      <c r="C76" s="59">
        <v>14606.4</v>
      </c>
    </row>
    <row r="77" ht="15.75" customHeight="1">
      <c r="A77" s="58" t="s">
        <v>389</v>
      </c>
      <c r="B77" s="59"/>
      <c r="C77" s="59">
        <v>3500.0</v>
      </c>
    </row>
    <row r="78" ht="15.75" customHeight="1">
      <c r="A78" s="58" t="s">
        <v>390</v>
      </c>
      <c r="B78" s="59"/>
      <c r="C78" s="59">
        <v>0.0</v>
      </c>
    </row>
    <row r="79" ht="15.75" customHeight="1">
      <c r="A79" s="58" t="s">
        <v>391</v>
      </c>
      <c r="B79" s="59"/>
      <c r="C79" s="59">
        <v>6000.0</v>
      </c>
    </row>
    <row r="80" ht="15.75" customHeight="1">
      <c r="A80" s="58" t="s">
        <v>392</v>
      </c>
      <c r="B80" s="59"/>
      <c r="C80" s="59">
        <v>4200.0</v>
      </c>
    </row>
    <row r="81" ht="15.75" customHeight="1">
      <c r="A81" s="58" t="s">
        <v>393</v>
      </c>
      <c r="B81" s="59"/>
      <c r="C81" s="59">
        <v>2400.0</v>
      </c>
    </row>
    <row r="82" ht="15.75" customHeight="1">
      <c r="A82" s="58" t="s">
        <v>394</v>
      </c>
      <c r="B82" s="59"/>
      <c r="C82" s="59">
        <v>19500.0</v>
      </c>
    </row>
    <row r="83" ht="15.75" customHeight="1">
      <c r="A83" s="58" t="s">
        <v>395</v>
      </c>
      <c r="B83" s="59"/>
      <c r="C83" s="59">
        <v>2800.0</v>
      </c>
    </row>
    <row r="84" ht="15.75" customHeight="1">
      <c r="A84" s="58" t="s">
        <v>396</v>
      </c>
      <c r="B84" s="66">
        <v>2376.93</v>
      </c>
      <c r="C84" s="59">
        <v>0.0</v>
      </c>
    </row>
    <row r="85" ht="15.75" customHeight="1">
      <c r="A85" s="58" t="s">
        <v>397</v>
      </c>
      <c r="B85" s="59">
        <v>656.78</v>
      </c>
      <c r="C85" s="59">
        <v>500.0</v>
      </c>
    </row>
    <row r="86" ht="15.75" customHeight="1">
      <c r="A86" s="58" t="s">
        <v>398</v>
      </c>
      <c r="B86" s="74">
        <v>-186.74</v>
      </c>
      <c r="C86" s="74">
        <v>1250.0</v>
      </c>
    </row>
    <row r="87" ht="15.75" customHeight="1">
      <c r="A87" s="58" t="s">
        <v>399</v>
      </c>
      <c r="B87" s="75">
        <f t="shared" ref="B87:C87" si="8">SUM(B75:B86)</f>
        <v>8434.48</v>
      </c>
      <c r="C87" s="59">
        <f t="shared" si="8"/>
        <v>58956.4</v>
      </c>
    </row>
    <row r="88" ht="15.75" customHeight="1">
      <c r="A88" s="58" t="s">
        <v>400</v>
      </c>
      <c r="B88" s="57"/>
      <c r="C88" s="57"/>
    </row>
    <row r="89" ht="15.75" customHeight="1">
      <c r="A89" s="58" t="s">
        <v>401</v>
      </c>
      <c r="B89" s="59">
        <f>614.19</f>
        <v>614.19</v>
      </c>
      <c r="C89" s="59">
        <v>2500.0</v>
      </c>
    </row>
    <row r="90" ht="15.75" customHeight="1">
      <c r="A90" s="58" t="s">
        <v>402</v>
      </c>
      <c r="B90" s="59"/>
      <c r="C90" s="59"/>
    </row>
    <row r="91" ht="15.75" customHeight="1">
      <c r="A91" s="58" t="s">
        <v>403</v>
      </c>
      <c r="B91" s="59">
        <v>1248.8</v>
      </c>
      <c r="C91" s="59">
        <v>4500.0</v>
      </c>
    </row>
    <row r="92" ht="15.75" customHeight="1">
      <c r="A92" s="58" t="s">
        <v>404</v>
      </c>
      <c r="B92" s="59">
        <v>851.17</v>
      </c>
      <c r="C92" s="59">
        <v>2000.0</v>
      </c>
    </row>
    <row r="93" ht="15.75" customHeight="1">
      <c r="A93" s="58" t="s">
        <v>405</v>
      </c>
      <c r="B93" s="59"/>
      <c r="C93" s="59">
        <v>250.0</v>
      </c>
    </row>
    <row r="94" ht="15.75" customHeight="1">
      <c r="A94" s="58" t="s">
        <v>406</v>
      </c>
      <c r="B94" s="59">
        <v>384.78</v>
      </c>
      <c r="C94" s="59">
        <v>1500.0</v>
      </c>
    </row>
    <row r="95" ht="15.75" customHeight="1">
      <c r="A95" s="58" t="s">
        <v>407</v>
      </c>
      <c r="B95" s="57"/>
      <c r="C95" s="57"/>
    </row>
    <row r="96" ht="15.75" customHeight="1">
      <c r="A96" s="58" t="s">
        <v>408</v>
      </c>
      <c r="B96" s="59">
        <v>636.02</v>
      </c>
      <c r="C96" s="59">
        <v>1000.0</v>
      </c>
    </row>
    <row r="97" ht="15.75" customHeight="1">
      <c r="A97" s="58" t="s">
        <v>409</v>
      </c>
      <c r="B97" s="59">
        <v>46.2</v>
      </c>
      <c r="C97" s="59">
        <v>1500.0</v>
      </c>
    </row>
    <row r="98" ht="15.75" customHeight="1">
      <c r="A98" s="58" t="s">
        <v>410</v>
      </c>
      <c r="B98" s="59">
        <v>305.49</v>
      </c>
      <c r="C98" s="59">
        <v>500.0</v>
      </c>
    </row>
    <row r="99" ht="15.75" customHeight="1">
      <c r="A99" s="58" t="s">
        <v>411</v>
      </c>
      <c r="B99" s="62">
        <f t="shared" ref="B99:C99" si="9">(((B95)+(B96))+(B97))+(B98)</f>
        <v>987.71</v>
      </c>
      <c r="C99" s="25">
        <f t="shared" si="9"/>
        <v>3000</v>
      </c>
    </row>
    <row r="100" ht="15.75" customHeight="1">
      <c r="A100" s="58" t="s">
        <v>412</v>
      </c>
      <c r="B100" s="59"/>
      <c r="C100" s="59">
        <v>50.0</v>
      </c>
    </row>
    <row r="101" ht="15.75" customHeight="1">
      <c r="A101" s="58" t="s">
        <v>413</v>
      </c>
      <c r="B101" s="57"/>
      <c r="C101" s="57"/>
    </row>
    <row r="102" ht="15.75" customHeight="1">
      <c r="A102" s="58" t="s">
        <v>414</v>
      </c>
      <c r="B102" s="59">
        <v>344.21</v>
      </c>
      <c r="C102" s="59">
        <v>500.0</v>
      </c>
    </row>
    <row r="103" ht="15.75" customHeight="1">
      <c r="A103" s="58" t="s">
        <v>415</v>
      </c>
      <c r="B103" s="59"/>
      <c r="C103" s="59">
        <f>250</f>
        <v>250</v>
      </c>
    </row>
    <row r="104" ht="15.75" customHeight="1">
      <c r="A104" s="58" t="s">
        <v>416</v>
      </c>
      <c r="B104" s="62">
        <f t="shared" ref="B104:C104" si="10">((B101)+(B102))+(B103)</f>
        <v>344.21</v>
      </c>
      <c r="C104" s="25">
        <f t="shared" si="10"/>
        <v>750</v>
      </c>
    </row>
    <row r="105" ht="15.75" customHeight="1">
      <c r="A105" s="58" t="s">
        <v>417</v>
      </c>
      <c r="B105" s="59">
        <v>1141.0</v>
      </c>
      <c r="C105" s="59">
        <v>1250.0</v>
      </c>
    </row>
    <row r="106" ht="15.75" customHeight="1">
      <c r="A106" s="58" t="s">
        <v>418</v>
      </c>
      <c r="B106" s="59">
        <v>275.0</v>
      </c>
      <c r="C106" s="59">
        <v>1000.0</v>
      </c>
    </row>
    <row r="107" ht="15.75" customHeight="1">
      <c r="A107" s="58" t="s">
        <v>419</v>
      </c>
      <c r="B107" s="59">
        <v>723.0</v>
      </c>
      <c r="C107" s="59">
        <v>1750.0</v>
      </c>
    </row>
    <row r="108" ht="15.75" customHeight="1">
      <c r="A108" s="58" t="s">
        <v>420</v>
      </c>
      <c r="B108" s="59">
        <v>669.0</v>
      </c>
      <c r="C108" s="59">
        <v>500.0</v>
      </c>
    </row>
    <row r="109" ht="15.75" customHeight="1">
      <c r="A109" s="58" t="s">
        <v>421</v>
      </c>
      <c r="B109" s="59">
        <v>81.0</v>
      </c>
      <c r="C109" s="59">
        <v>250.0</v>
      </c>
    </row>
    <row r="110" ht="15.75" customHeight="1">
      <c r="A110" s="58" t="s">
        <v>422</v>
      </c>
      <c r="B110" s="59"/>
      <c r="C110" s="59">
        <f>1000</f>
        <v>1000</v>
      </c>
    </row>
    <row r="111" ht="15.75" customHeight="1">
      <c r="A111" s="58" t="s">
        <v>423</v>
      </c>
      <c r="B111" s="59">
        <v>2523.98</v>
      </c>
      <c r="C111" s="59">
        <v>1500.0</v>
      </c>
    </row>
    <row r="112" ht="15.75" customHeight="1">
      <c r="A112" s="63"/>
    </row>
    <row r="113" ht="15.75" customHeight="1">
      <c r="A113" s="58" t="s">
        <v>424</v>
      </c>
      <c r="B113" s="59">
        <v>395.99</v>
      </c>
      <c r="C113" s="59">
        <v>550.0</v>
      </c>
    </row>
    <row r="114" ht="15.75" customHeight="1">
      <c r="A114" s="58" t="s">
        <v>425</v>
      </c>
      <c r="B114" s="57"/>
      <c r="C114" s="57"/>
    </row>
    <row r="115" ht="15.75" customHeight="1">
      <c r="A115" s="58" t="s">
        <v>426</v>
      </c>
      <c r="B115" s="59"/>
      <c r="C115" s="59">
        <v>3000.0</v>
      </c>
    </row>
    <row r="116" ht="15.75" customHeight="1">
      <c r="A116" s="58" t="s">
        <v>427</v>
      </c>
      <c r="B116" s="59"/>
      <c r="C116" s="59">
        <v>250.0</v>
      </c>
    </row>
    <row r="117" ht="15.75" customHeight="1">
      <c r="A117" s="58" t="s">
        <v>428</v>
      </c>
      <c r="B117" s="25">
        <f t="shared" ref="B117:C117" si="11">((B114)+(B115))+(B116)</f>
        <v>0</v>
      </c>
      <c r="C117" s="25">
        <f t="shared" si="11"/>
        <v>3250</v>
      </c>
    </row>
    <row r="118" ht="15.75" customHeight="1">
      <c r="A118" s="58" t="s">
        <v>429</v>
      </c>
      <c r="B118" s="57"/>
      <c r="C118" s="57"/>
    </row>
    <row r="119" ht="15.75" customHeight="1">
      <c r="A119" s="58" t="s">
        <v>430</v>
      </c>
      <c r="B119" s="59"/>
      <c r="C119" s="59">
        <v>750.0</v>
      </c>
    </row>
    <row r="120" ht="15.75" customHeight="1">
      <c r="A120" s="58" t="s">
        <v>431</v>
      </c>
      <c r="B120" s="59"/>
      <c r="C120" s="59">
        <v>0.0</v>
      </c>
    </row>
    <row r="121" ht="15.75" customHeight="1">
      <c r="A121" s="58" t="s">
        <v>432</v>
      </c>
      <c r="B121" s="62">
        <f t="shared" ref="B121:C121" si="12">((B118)+(B119))+(B120)</f>
        <v>0</v>
      </c>
      <c r="C121" s="25">
        <f t="shared" si="12"/>
        <v>750</v>
      </c>
    </row>
    <row r="122" ht="15.75" customHeight="1">
      <c r="A122" s="58" t="s">
        <v>433</v>
      </c>
      <c r="B122" s="57"/>
      <c r="C122" s="57"/>
    </row>
    <row r="123" ht="15.75" customHeight="1">
      <c r="A123" s="58" t="s">
        <v>434</v>
      </c>
      <c r="B123" s="59"/>
      <c r="C123" s="59">
        <v>500.0</v>
      </c>
    </row>
    <row r="124" ht="15.75" customHeight="1">
      <c r="A124" s="58" t="s">
        <v>435</v>
      </c>
      <c r="B124" s="62">
        <f t="shared" ref="B124:C124" si="13">(B122)+(B123)</f>
        <v>0</v>
      </c>
      <c r="C124" s="25">
        <f t="shared" si="13"/>
        <v>500</v>
      </c>
    </row>
    <row r="125" ht="15.75" customHeight="1">
      <c r="A125" s="58" t="s">
        <v>436</v>
      </c>
      <c r="B125" s="57"/>
      <c r="C125" s="57"/>
    </row>
    <row r="126" ht="15.75" customHeight="1">
      <c r="A126" s="58" t="s">
        <v>437</v>
      </c>
      <c r="B126" s="59"/>
      <c r="C126" s="59">
        <v>17000.0</v>
      </c>
    </row>
    <row r="127" ht="15.75" customHeight="1">
      <c r="A127" s="58" t="s">
        <v>438</v>
      </c>
      <c r="B127" s="59"/>
      <c r="C127" s="59">
        <v>2000.0</v>
      </c>
    </row>
    <row r="128" ht="15.75" customHeight="1">
      <c r="A128" s="58" t="s">
        <v>439</v>
      </c>
      <c r="B128" s="59"/>
      <c r="C128" s="59">
        <v>750.0</v>
      </c>
    </row>
    <row r="129" ht="15.75" customHeight="1">
      <c r="A129" s="58" t="s">
        <v>440</v>
      </c>
      <c r="B129" s="59"/>
      <c r="C129" s="59">
        <v>250.0</v>
      </c>
    </row>
    <row r="130" ht="15.75" customHeight="1">
      <c r="A130" s="58" t="s">
        <v>441</v>
      </c>
      <c r="B130" s="25">
        <f t="shared" ref="B130:C130" si="14">((((B125)+(B126))+(B127))+(B128))+(B129)</f>
        <v>0</v>
      </c>
      <c r="C130" s="25">
        <f t="shared" si="14"/>
        <v>20000</v>
      </c>
    </row>
    <row r="131" ht="15.75" customHeight="1">
      <c r="A131" s="58" t="s">
        <v>442</v>
      </c>
      <c r="B131" s="59">
        <v>320.0</v>
      </c>
      <c r="C131" s="59">
        <v>1500.0</v>
      </c>
    </row>
    <row r="132" ht="15.75" customHeight="1">
      <c r="A132" s="58"/>
      <c r="B132" s="59"/>
      <c r="C132" s="59"/>
    </row>
    <row r="133" ht="15.75" customHeight="1">
      <c r="A133" s="58" t="s">
        <v>443</v>
      </c>
      <c r="B133" s="59">
        <v>0.0</v>
      </c>
      <c r="C133" s="59"/>
    </row>
    <row r="134" ht="15.75" customHeight="1">
      <c r="A134" s="76" t="s">
        <v>444</v>
      </c>
      <c r="B134" s="73">
        <f t="shared" ref="B134:C134" si="15">(((((((((((((((((((((B88)+(B89))+(B91))+(B93))+(B94))+(B99))+(B100))+(B104))+(B105))+(B106))+(B107))+(B108))+(B109))+(B110))+(B111))+B92+(B113))+(B117))+(B121))+(B124))+(B130))+(B131))+(B133)</f>
        <v>10559.83</v>
      </c>
      <c r="C134" s="73">
        <f t="shared" si="15"/>
        <v>48350</v>
      </c>
    </row>
    <row r="135" ht="15.75" customHeight="1">
      <c r="A135" s="58" t="s">
        <v>445</v>
      </c>
      <c r="B135" s="57"/>
      <c r="C135" s="57"/>
    </row>
    <row r="136" ht="15.75" customHeight="1">
      <c r="A136" s="58" t="s">
        <v>446</v>
      </c>
      <c r="B136" s="57"/>
      <c r="C136" s="57"/>
    </row>
    <row r="137" ht="15.75" customHeight="1">
      <c r="A137" s="58" t="s">
        <v>447</v>
      </c>
      <c r="B137" s="59">
        <v>239.25</v>
      </c>
      <c r="C137" s="59">
        <v>1000.0</v>
      </c>
    </row>
    <row r="138" ht="15.75" customHeight="1">
      <c r="A138" s="58" t="s">
        <v>448</v>
      </c>
      <c r="B138" s="59">
        <v>3423.55</v>
      </c>
      <c r="C138" s="59">
        <v>16500.0</v>
      </c>
    </row>
    <row r="139" ht="15.75" customHeight="1">
      <c r="A139" s="58" t="s">
        <v>449</v>
      </c>
      <c r="B139" s="25">
        <f t="shared" ref="B139:C139" si="16">((B136)+(B137))+(B138)</f>
        <v>3662.8</v>
      </c>
      <c r="C139" s="25">
        <f t="shared" si="16"/>
        <v>17500</v>
      </c>
    </row>
    <row r="140" ht="15.75" customHeight="1">
      <c r="A140" s="58" t="s">
        <v>450</v>
      </c>
      <c r="B140" s="57"/>
      <c r="C140" s="57"/>
    </row>
    <row r="141" ht="15.75" customHeight="1">
      <c r="A141" s="58" t="s">
        <v>451</v>
      </c>
      <c r="B141" s="59">
        <v>642.66</v>
      </c>
      <c r="C141" s="59">
        <v>2250.0</v>
      </c>
    </row>
    <row r="142" ht="15.75" customHeight="1">
      <c r="A142" s="58" t="s">
        <v>452</v>
      </c>
      <c r="B142" s="59">
        <v>175.53</v>
      </c>
      <c r="C142" s="59">
        <v>750.0</v>
      </c>
    </row>
    <row r="143" ht="15.75" customHeight="1">
      <c r="A143" s="58" t="s">
        <v>453</v>
      </c>
      <c r="B143" s="59"/>
      <c r="C143" s="59">
        <v>2250.0</v>
      </c>
    </row>
    <row r="144" ht="15.75" customHeight="1">
      <c r="A144" s="58" t="s">
        <v>454</v>
      </c>
      <c r="B144" s="25">
        <f t="shared" ref="B144:C144" si="17">(((B140)+(B141))+(B142))+(B143)</f>
        <v>818.19</v>
      </c>
      <c r="C144" s="25">
        <f t="shared" si="17"/>
        <v>5250</v>
      </c>
    </row>
    <row r="145" ht="15.75" customHeight="1">
      <c r="A145" s="58" t="s">
        <v>455</v>
      </c>
      <c r="B145" s="57"/>
      <c r="C145" s="57"/>
    </row>
    <row r="146" ht="15.75" customHeight="1">
      <c r="A146" s="58" t="s">
        <v>456</v>
      </c>
      <c r="B146" s="59">
        <f t="shared" ref="B146:B147" si="18">184.05</f>
        <v>184.05</v>
      </c>
      <c r="C146" s="59">
        <v>500.0</v>
      </c>
    </row>
    <row r="147" ht="15.75" customHeight="1">
      <c r="A147" s="58" t="s">
        <v>457</v>
      </c>
      <c r="B147" s="59">
        <f t="shared" si="18"/>
        <v>184.05</v>
      </c>
      <c r="C147" s="59">
        <v>750.0</v>
      </c>
    </row>
    <row r="148" ht="15.75" customHeight="1">
      <c r="A148" s="58" t="s">
        <v>458</v>
      </c>
      <c r="B148" s="59">
        <f>232.89</f>
        <v>232.89</v>
      </c>
      <c r="C148" s="59">
        <v>500.0</v>
      </c>
    </row>
    <row r="149" ht="15.75" customHeight="1">
      <c r="A149" s="58" t="s">
        <v>459</v>
      </c>
      <c r="B149" s="59"/>
      <c r="C149" s="59">
        <v>250.0</v>
      </c>
    </row>
    <row r="150" ht="15.75" customHeight="1">
      <c r="A150" s="58" t="s">
        <v>460</v>
      </c>
      <c r="B150" s="59">
        <v>1731.92</v>
      </c>
      <c r="C150" s="59">
        <v>2750.0</v>
      </c>
    </row>
    <row r="151" ht="15.75" customHeight="1">
      <c r="A151" s="58" t="s">
        <v>461</v>
      </c>
      <c r="B151" s="59"/>
      <c r="C151" s="59">
        <v>250.0</v>
      </c>
    </row>
    <row r="152" ht="15.75" customHeight="1">
      <c r="A152" s="58" t="s">
        <v>462</v>
      </c>
      <c r="B152" s="59"/>
      <c r="C152" s="59">
        <v>2000.0</v>
      </c>
    </row>
    <row r="153" ht="15.75" customHeight="1">
      <c r="A153" s="58" t="s">
        <v>463</v>
      </c>
      <c r="B153" s="25">
        <f t="shared" ref="B153:C153" si="19">(((((((B145)+(B146))+(B147))+(B148))+(B149))+(B150))+(B151))+(B152)</f>
        <v>2332.91</v>
      </c>
      <c r="C153" s="25">
        <f t="shared" si="19"/>
        <v>7000</v>
      </c>
    </row>
    <row r="154" ht="15.75" customHeight="1">
      <c r="A154" s="58" t="s">
        <v>464</v>
      </c>
      <c r="B154" s="57"/>
      <c r="C154" s="57"/>
    </row>
    <row r="155" ht="15.75" customHeight="1">
      <c r="A155" s="58" t="s">
        <v>465</v>
      </c>
      <c r="B155" s="59">
        <v>112.03</v>
      </c>
      <c r="C155" s="59">
        <v>150.0</v>
      </c>
    </row>
    <row r="156" ht="15.75" customHeight="1">
      <c r="A156" s="58" t="s">
        <v>466</v>
      </c>
      <c r="B156" s="59"/>
      <c r="C156" s="59">
        <v>150.0</v>
      </c>
    </row>
    <row r="157" ht="15.75" customHeight="1">
      <c r="A157" s="58" t="s">
        <v>467</v>
      </c>
      <c r="B157" s="59"/>
      <c r="C157" s="59">
        <v>1000.0</v>
      </c>
    </row>
    <row r="158" ht="15.75" customHeight="1">
      <c r="A158" s="58" t="s">
        <v>468</v>
      </c>
      <c r="B158" s="59"/>
      <c r="C158" s="59">
        <v>1500.0</v>
      </c>
    </row>
    <row r="159" ht="15.75" customHeight="1">
      <c r="A159" s="58" t="s">
        <v>469</v>
      </c>
      <c r="B159" s="59"/>
      <c r="C159" s="59">
        <v>750.0</v>
      </c>
    </row>
    <row r="160" ht="15.75" customHeight="1">
      <c r="A160" s="58" t="s">
        <v>470</v>
      </c>
      <c r="B160" s="59"/>
      <c r="C160" s="59">
        <v>500.0</v>
      </c>
    </row>
    <row r="161" ht="15.75" customHeight="1">
      <c r="A161" s="58" t="s">
        <v>471</v>
      </c>
      <c r="B161" s="59">
        <v>208.83</v>
      </c>
      <c r="C161" s="59">
        <v>4000.0</v>
      </c>
    </row>
    <row r="162" ht="15.75" customHeight="1">
      <c r="A162" s="58" t="s">
        <v>472</v>
      </c>
      <c r="B162" s="59"/>
      <c r="C162" s="59">
        <v>3250.0</v>
      </c>
    </row>
    <row r="163" ht="15.75" customHeight="1">
      <c r="A163" s="58" t="s">
        <v>473</v>
      </c>
      <c r="B163" s="59"/>
      <c r="C163" s="59">
        <v>0.0</v>
      </c>
    </row>
    <row r="164" ht="15.75" customHeight="1">
      <c r="A164" s="58" t="s">
        <v>474</v>
      </c>
      <c r="B164" s="59"/>
      <c r="C164" s="59">
        <v>250.0</v>
      </c>
    </row>
    <row r="165" ht="15.75" customHeight="1">
      <c r="A165" s="58" t="s">
        <v>475</v>
      </c>
      <c r="B165" s="25">
        <f>SUM(B155:B164)</f>
        <v>320.86</v>
      </c>
      <c r="C165" s="25">
        <f>(((((((((C154)+(C155))+(C156))+(C157))+(C158))+(C159))+(C160))+(C161))+(C162))+(C164)</f>
        <v>11550</v>
      </c>
    </row>
    <row r="166" ht="15.75" customHeight="1">
      <c r="A166" s="58" t="s">
        <v>476</v>
      </c>
      <c r="B166" s="73">
        <f t="shared" ref="B166:C166" si="20">((((B135)+(B139))+(B144))+(B153))+(B165)</f>
        <v>7134.76</v>
      </c>
      <c r="C166" s="25">
        <f t="shared" si="20"/>
        <v>41300</v>
      </c>
    </row>
    <row r="167" ht="15.75" customHeight="1">
      <c r="A167" s="58" t="s">
        <v>477</v>
      </c>
      <c r="B167" s="62">
        <f t="shared" ref="B167:C167" si="21">B57+B73+B87+B134+B166</f>
        <v>61753.95</v>
      </c>
      <c r="C167" s="62">
        <f t="shared" si="21"/>
        <v>345186.4</v>
      </c>
    </row>
    <row r="168" ht="15.75" customHeight="1">
      <c r="A168" s="58" t="s">
        <v>318</v>
      </c>
      <c r="B168" s="25">
        <f t="shared" ref="B168:C168" si="22">B167</f>
        <v>61753.95</v>
      </c>
      <c r="C168" s="25">
        <f t="shared" si="22"/>
        <v>345186.4</v>
      </c>
    </row>
    <row r="169" ht="15.75" customHeight="1">
      <c r="A169" s="58" t="s">
        <v>319</v>
      </c>
      <c r="B169" s="25">
        <f t="shared" ref="B169:C169" si="23">(B36)-(B168)</f>
        <v>68405.12</v>
      </c>
      <c r="C169" s="25">
        <f t="shared" si="23"/>
        <v>0</v>
      </c>
    </row>
    <row r="170" ht="15.75" customHeight="1">
      <c r="A170" s="58"/>
      <c r="B170" s="25"/>
      <c r="C170" s="25"/>
    </row>
    <row r="171" ht="15.75" customHeight="1">
      <c r="A171" s="58"/>
      <c r="B171" s="77"/>
      <c r="C171" s="57"/>
    </row>
    <row r="172" ht="15.75" customHeight="1">
      <c r="A172" s="58"/>
      <c r="B172" s="77"/>
      <c r="C172" s="57"/>
    </row>
    <row r="173" ht="15.75" customHeight="1">
      <c r="A173" s="58"/>
      <c r="B173" s="77"/>
      <c r="C173" s="57"/>
    </row>
    <row r="174" ht="15.75" customHeight="1">
      <c r="A174" s="58"/>
      <c r="B174" s="77"/>
      <c r="C174" s="57"/>
    </row>
    <row r="175" ht="15.75" customHeight="1">
      <c r="A175" s="58"/>
      <c r="B175" s="77"/>
      <c r="C175" s="57"/>
    </row>
    <row r="176" ht="15.75" customHeight="1">
      <c r="A176" s="58" t="s">
        <v>478</v>
      </c>
      <c r="B176" s="78">
        <v>4225.91</v>
      </c>
      <c r="C176" s="79">
        <f>SUM(B169:B176)</f>
        <v>72631.03</v>
      </c>
    </row>
    <row r="177" ht="15.75" customHeight="1">
      <c r="A177" s="56"/>
      <c r="B177" s="77"/>
      <c r="C177" s="80"/>
    </row>
    <row r="178" ht="15.75" customHeight="1">
      <c r="A178" s="66" t="s">
        <v>479</v>
      </c>
      <c r="B178" s="67">
        <v>-20925.16</v>
      </c>
    </row>
    <row r="179" ht="15.75" customHeight="1">
      <c r="A179" s="66" t="s">
        <v>322</v>
      </c>
      <c r="B179" s="67">
        <v>2236.25</v>
      </c>
    </row>
    <row r="180" ht="15.75" customHeight="1">
      <c r="B180" s="67"/>
    </row>
    <row r="181" ht="15.75" customHeight="1">
      <c r="B181" s="77"/>
    </row>
    <row r="182" ht="15.75" customHeight="1">
      <c r="A182" s="66" t="s">
        <v>324</v>
      </c>
      <c r="B182" s="67">
        <v>0.0</v>
      </c>
    </row>
    <row r="183" ht="15.75" customHeight="1">
      <c r="A183" s="66" t="s">
        <v>325</v>
      </c>
      <c r="B183" s="67">
        <v>33370.46</v>
      </c>
    </row>
    <row r="184" ht="15.75" customHeight="1">
      <c r="A184" s="66" t="s">
        <v>480</v>
      </c>
      <c r="B184" s="81"/>
    </row>
    <row r="185" ht="15.75" customHeight="1"/>
    <row r="186" ht="15.75" customHeight="1">
      <c r="A186" s="66" t="s">
        <v>481</v>
      </c>
      <c r="B186" s="81"/>
    </row>
    <row r="187" ht="15.75" customHeight="1">
      <c r="B187" s="67"/>
    </row>
    <row r="188" ht="15.75" customHeight="1">
      <c r="A188" s="68" t="s">
        <v>326</v>
      </c>
      <c r="B188" s="69">
        <f>SUM(B169:B186)</f>
        <v>87312.58</v>
      </c>
    </row>
    <row r="189" ht="15.75" customHeight="1">
      <c r="B189" s="67"/>
    </row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29"/>
    <col customWidth="1" min="2" max="2" width="10.43"/>
    <col customWidth="1" min="3" max="3" width="9.57"/>
    <col customWidth="1" min="4" max="6" width="10.14"/>
    <col customWidth="1" min="7" max="26" width="8.71"/>
  </cols>
  <sheetData>
    <row r="1">
      <c r="A1" s="51" t="s">
        <v>46</v>
      </c>
    </row>
    <row r="2">
      <c r="A2" s="51" t="s">
        <v>482</v>
      </c>
    </row>
    <row r="3">
      <c r="A3" s="52" t="s">
        <v>483</v>
      </c>
    </row>
    <row r="5">
      <c r="A5" s="53"/>
      <c r="B5" s="54" t="s">
        <v>484</v>
      </c>
      <c r="C5" s="54" t="s">
        <v>485</v>
      </c>
      <c r="D5" s="54" t="s">
        <v>486</v>
      </c>
      <c r="E5" s="54" t="s">
        <v>487</v>
      </c>
      <c r="F5" s="54" t="s">
        <v>488</v>
      </c>
    </row>
    <row r="6">
      <c r="A6" s="56" t="s">
        <v>202</v>
      </c>
      <c r="B6" s="57"/>
      <c r="C6" s="57"/>
      <c r="D6" s="57"/>
      <c r="E6" s="57"/>
      <c r="F6" s="57"/>
    </row>
    <row r="7">
      <c r="A7" s="58" t="s">
        <v>203</v>
      </c>
      <c r="B7" s="57"/>
      <c r="C7" s="57"/>
      <c r="D7" s="57"/>
      <c r="E7" s="57"/>
      <c r="F7" s="59">
        <f t="shared" ref="F7:F47" si="1">(((B7)+(C7))+(D7))+(E7)</f>
        <v>0</v>
      </c>
    </row>
    <row r="8">
      <c r="A8" s="58" t="s">
        <v>204</v>
      </c>
      <c r="B8" s="57"/>
      <c r="C8" s="57"/>
      <c r="D8" s="57"/>
      <c r="E8" s="57"/>
      <c r="F8" s="59">
        <f t="shared" si="1"/>
        <v>0</v>
      </c>
    </row>
    <row r="9">
      <c r="A9" s="58" t="s">
        <v>205</v>
      </c>
      <c r="B9" s="57"/>
      <c r="C9" s="57"/>
      <c r="D9" s="59">
        <f>172002</f>
        <v>172002</v>
      </c>
      <c r="E9" s="57"/>
      <c r="F9" s="59">
        <f t="shared" si="1"/>
        <v>172002</v>
      </c>
    </row>
    <row r="10">
      <c r="A10" s="58" t="s">
        <v>489</v>
      </c>
      <c r="B10" s="57"/>
      <c r="C10" s="57"/>
      <c r="D10" s="59">
        <f>-128214.66</f>
        <v>-128214.66</v>
      </c>
      <c r="E10" s="57"/>
      <c r="F10" s="59">
        <f t="shared" si="1"/>
        <v>-128214.66</v>
      </c>
    </row>
    <row r="11">
      <c r="A11" s="58" t="s">
        <v>206</v>
      </c>
      <c r="B11" s="25">
        <f t="shared" ref="B11:E11" si="2">((B8)+(B9))+(B10)</f>
        <v>0</v>
      </c>
      <c r="C11" s="25">
        <f t="shared" si="2"/>
        <v>0</v>
      </c>
      <c r="D11" s="25">
        <f t="shared" si="2"/>
        <v>43787.34</v>
      </c>
      <c r="E11" s="25">
        <f t="shared" si="2"/>
        <v>0</v>
      </c>
      <c r="F11" s="25">
        <f t="shared" si="1"/>
        <v>43787.34</v>
      </c>
    </row>
    <row r="12">
      <c r="A12" s="58" t="s">
        <v>207</v>
      </c>
      <c r="B12" s="57"/>
      <c r="C12" s="57"/>
      <c r="D12" s="57"/>
      <c r="E12" s="57"/>
      <c r="F12" s="59">
        <f t="shared" si="1"/>
        <v>0</v>
      </c>
    </row>
    <row r="13">
      <c r="A13" s="58" t="s">
        <v>208</v>
      </c>
      <c r="B13" s="57"/>
      <c r="C13" s="57"/>
      <c r="D13" s="57"/>
      <c r="E13" s="57"/>
      <c r="F13" s="59">
        <f t="shared" si="1"/>
        <v>0</v>
      </c>
    </row>
    <row r="14">
      <c r="A14" s="58" t="s">
        <v>209</v>
      </c>
      <c r="B14" s="57"/>
      <c r="C14" s="57"/>
      <c r="D14" s="57"/>
      <c r="E14" s="59">
        <f>178550</f>
        <v>178550</v>
      </c>
      <c r="F14" s="59">
        <f t="shared" si="1"/>
        <v>178550</v>
      </c>
    </row>
    <row r="15">
      <c r="A15" s="58" t="s">
        <v>490</v>
      </c>
      <c r="B15" s="57"/>
      <c r="C15" s="57"/>
      <c r="D15" s="57"/>
      <c r="E15" s="59">
        <f>-128630.52</f>
        <v>-128630.52</v>
      </c>
      <c r="F15" s="59">
        <f t="shared" si="1"/>
        <v>-128630.52</v>
      </c>
    </row>
    <row r="16">
      <c r="A16" s="58" t="s">
        <v>210</v>
      </c>
      <c r="B16" s="25">
        <f t="shared" ref="B16:E16" si="3">((B13)+(B14))+(B15)</f>
        <v>0</v>
      </c>
      <c r="C16" s="25">
        <f t="shared" si="3"/>
        <v>0</v>
      </c>
      <c r="D16" s="25">
        <f t="shared" si="3"/>
        <v>0</v>
      </c>
      <c r="E16" s="25">
        <f t="shared" si="3"/>
        <v>49919.48</v>
      </c>
      <c r="F16" s="25">
        <f t="shared" si="1"/>
        <v>49919.48</v>
      </c>
    </row>
    <row r="17">
      <c r="A17" s="58" t="s">
        <v>211</v>
      </c>
      <c r="B17" s="25">
        <f t="shared" ref="B17:E17" si="4">(B12)+(B16)</f>
        <v>0</v>
      </c>
      <c r="C17" s="25">
        <f t="shared" si="4"/>
        <v>0</v>
      </c>
      <c r="D17" s="25">
        <f t="shared" si="4"/>
        <v>0</v>
      </c>
      <c r="E17" s="25">
        <f t="shared" si="4"/>
        <v>49919.48</v>
      </c>
      <c r="F17" s="25">
        <f t="shared" si="1"/>
        <v>49919.48</v>
      </c>
    </row>
    <row r="18">
      <c r="A18" s="58" t="s">
        <v>212</v>
      </c>
      <c r="B18" s="57"/>
      <c r="C18" s="57"/>
      <c r="D18" s="57"/>
      <c r="E18" s="57"/>
      <c r="F18" s="59">
        <f t="shared" si="1"/>
        <v>0</v>
      </c>
    </row>
    <row r="19">
      <c r="A19" s="58" t="s">
        <v>216</v>
      </c>
      <c r="B19" s="57"/>
      <c r="C19" s="57"/>
      <c r="D19" s="57"/>
      <c r="E19" s="57"/>
      <c r="F19" s="59">
        <f t="shared" si="1"/>
        <v>0</v>
      </c>
    </row>
    <row r="20">
      <c r="A20" s="58" t="s">
        <v>219</v>
      </c>
      <c r="B20" s="57"/>
      <c r="C20" s="57"/>
      <c r="D20" s="57"/>
      <c r="E20" s="59">
        <f>5000</f>
        <v>5000</v>
      </c>
      <c r="F20" s="59">
        <f t="shared" si="1"/>
        <v>5000</v>
      </c>
    </row>
    <row r="21" ht="15.75" customHeight="1">
      <c r="A21" s="58" t="s">
        <v>491</v>
      </c>
      <c r="B21" s="57"/>
      <c r="C21" s="57"/>
      <c r="D21" s="57"/>
      <c r="E21" s="59">
        <f>5.11</f>
        <v>5.11</v>
      </c>
      <c r="F21" s="59">
        <f t="shared" si="1"/>
        <v>5.11</v>
      </c>
    </row>
    <row r="22" ht="15.75" customHeight="1">
      <c r="A22" s="58" t="s">
        <v>220</v>
      </c>
      <c r="B22" s="25">
        <f t="shared" ref="B22:E22" si="5">((B19)+(B20))+(B21)</f>
        <v>0</v>
      </c>
      <c r="C22" s="25">
        <f t="shared" si="5"/>
        <v>0</v>
      </c>
      <c r="D22" s="25">
        <f t="shared" si="5"/>
        <v>0</v>
      </c>
      <c r="E22" s="25">
        <f t="shared" si="5"/>
        <v>5005.11</v>
      </c>
      <c r="F22" s="25">
        <f t="shared" si="1"/>
        <v>5005.11</v>
      </c>
    </row>
    <row r="23" ht="15.75" customHeight="1">
      <c r="A23" s="58" t="s">
        <v>221</v>
      </c>
      <c r="B23" s="25">
        <f t="shared" ref="B23:E23" si="6">(B18)+(B22)</f>
        <v>0</v>
      </c>
      <c r="C23" s="25">
        <f t="shared" si="6"/>
        <v>0</v>
      </c>
      <c r="D23" s="25">
        <f t="shared" si="6"/>
        <v>0</v>
      </c>
      <c r="E23" s="25">
        <f t="shared" si="6"/>
        <v>5005.11</v>
      </c>
      <c r="F23" s="25">
        <f t="shared" si="1"/>
        <v>5005.11</v>
      </c>
    </row>
    <row r="24" ht="15.75" customHeight="1">
      <c r="A24" s="58" t="s">
        <v>222</v>
      </c>
      <c r="B24" s="25">
        <f t="shared" ref="B24:E24" si="7">(((B7)+(B11))+(B17))+(B23)</f>
        <v>0</v>
      </c>
      <c r="C24" s="25">
        <f t="shared" si="7"/>
        <v>0</v>
      </c>
      <c r="D24" s="25">
        <f t="shared" si="7"/>
        <v>43787.34</v>
      </c>
      <c r="E24" s="25">
        <f t="shared" si="7"/>
        <v>54924.59</v>
      </c>
      <c r="F24" s="25">
        <f t="shared" si="1"/>
        <v>98711.93</v>
      </c>
    </row>
    <row r="25" ht="15.75" customHeight="1">
      <c r="A25" s="58" t="s">
        <v>328</v>
      </c>
      <c r="B25" s="57"/>
      <c r="C25" s="57"/>
      <c r="D25" s="57"/>
      <c r="E25" s="57"/>
      <c r="F25" s="59">
        <f t="shared" si="1"/>
        <v>0</v>
      </c>
    </row>
    <row r="26" ht="15.75" customHeight="1">
      <c r="A26" s="58" t="s">
        <v>329</v>
      </c>
      <c r="B26" s="57"/>
      <c r="C26" s="57"/>
      <c r="D26" s="57"/>
      <c r="E26" s="57"/>
      <c r="F26" s="59">
        <f t="shared" si="1"/>
        <v>0</v>
      </c>
    </row>
    <row r="27" ht="15.75" customHeight="1">
      <c r="A27" s="58" t="s">
        <v>330</v>
      </c>
      <c r="B27" s="59">
        <f>46015.12</f>
        <v>46015.12</v>
      </c>
      <c r="C27" s="57"/>
      <c r="D27" s="57"/>
      <c r="E27" s="57"/>
      <c r="F27" s="59">
        <f t="shared" si="1"/>
        <v>46015.12</v>
      </c>
    </row>
    <row r="28" ht="15.75" customHeight="1">
      <c r="A28" s="58" t="s">
        <v>331</v>
      </c>
      <c r="B28" s="59">
        <f>5100</f>
        <v>5100</v>
      </c>
      <c r="C28" s="57"/>
      <c r="D28" s="57"/>
      <c r="E28" s="57"/>
      <c r="F28" s="59">
        <f t="shared" si="1"/>
        <v>5100</v>
      </c>
    </row>
    <row r="29" ht="15.75" customHeight="1">
      <c r="A29" s="58" t="s">
        <v>332</v>
      </c>
      <c r="B29" s="59">
        <f>1075</f>
        <v>1075</v>
      </c>
      <c r="C29" s="57"/>
      <c r="D29" s="57"/>
      <c r="E29" s="57"/>
      <c r="F29" s="59">
        <f t="shared" si="1"/>
        <v>1075</v>
      </c>
    </row>
    <row r="30" ht="15.75" customHeight="1">
      <c r="A30" s="58" t="s">
        <v>333</v>
      </c>
      <c r="B30" s="59">
        <f>240</f>
        <v>240</v>
      </c>
      <c r="C30" s="57"/>
      <c r="D30" s="57"/>
      <c r="E30" s="57"/>
      <c r="F30" s="59">
        <f t="shared" si="1"/>
        <v>240</v>
      </c>
    </row>
    <row r="31" ht="15.75" customHeight="1">
      <c r="A31" s="58" t="s">
        <v>334</v>
      </c>
      <c r="B31" s="25">
        <f t="shared" ref="B31:E31" si="8">((((B26)+(B27))+(B28))+(B29))+(B30)</f>
        <v>52430.12</v>
      </c>
      <c r="C31" s="25">
        <f t="shared" si="8"/>
        <v>0</v>
      </c>
      <c r="D31" s="25">
        <f t="shared" si="8"/>
        <v>0</v>
      </c>
      <c r="E31" s="25">
        <f t="shared" si="8"/>
        <v>0</v>
      </c>
      <c r="F31" s="25">
        <f t="shared" si="1"/>
        <v>52430.12</v>
      </c>
    </row>
    <row r="32" ht="15.75" customHeight="1">
      <c r="A32" s="58" t="s">
        <v>335</v>
      </c>
      <c r="B32" s="57"/>
      <c r="C32" s="57"/>
      <c r="D32" s="57"/>
      <c r="E32" s="57"/>
      <c r="F32" s="59">
        <f t="shared" si="1"/>
        <v>0</v>
      </c>
    </row>
    <row r="33" ht="15.75" customHeight="1">
      <c r="A33" s="58" t="s">
        <v>336</v>
      </c>
      <c r="B33" s="57"/>
      <c r="C33" s="57"/>
      <c r="D33" s="57"/>
      <c r="E33" s="57"/>
      <c r="F33" s="59">
        <f t="shared" si="1"/>
        <v>0</v>
      </c>
    </row>
    <row r="34" ht="15.75" customHeight="1">
      <c r="A34" s="58" t="s">
        <v>337</v>
      </c>
      <c r="B34" s="59">
        <f>26645.16</f>
        <v>26645.16</v>
      </c>
      <c r="C34" s="57"/>
      <c r="D34" s="57"/>
      <c r="E34" s="57"/>
      <c r="F34" s="59">
        <f t="shared" si="1"/>
        <v>26645.16</v>
      </c>
    </row>
    <row r="35" ht="15.75" customHeight="1">
      <c r="A35" s="58" t="s">
        <v>338</v>
      </c>
      <c r="B35" s="59">
        <f>5929</f>
        <v>5929</v>
      </c>
      <c r="C35" s="57"/>
      <c r="D35" s="57"/>
      <c r="E35" s="57"/>
      <c r="F35" s="59">
        <f t="shared" si="1"/>
        <v>5929</v>
      </c>
    </row>
    <row r="36" ht="15.75" customHeight="1">
      <c r="A36" s="58" t="s">
        <v>339</v>
      </c>
      <c r="B36" s="59">
        <f>10000</f>
        <v>10000</v>
      </c>
      <c r="C36" s="57"/>
      <c r="D36" s="57"/>
      <c r="E36" s="57"/>
      <c r="F36" s="59">
        <f t="shared" si="1"/>
        <v>10000</v>
      </c>
    </row>
    <row r="37" ht="15.75" customHeight="1">
      <c r="A37" s="58" t="s">
        <v>340</v>
      </c>
      <c r="B37" s="59">
        <f>3943.64</f>
        <v>3943.64</v>
      </c>
      <c r="C37" s="57"/>
      <c r="D37" s="57"/>
      <c r="E37" s="57"/>
      <c r="F37" s="59">
        <f t="shared" si="1"/>
        <v>3943.64</v>
      </c>
    </row>
    <row r="38" ht="15.75" customHeight="1">
      <c r="A38" s="58" t="s">
        <v>342</v>
      </c>
      <c r="B38" s="59">
        <f>30000</f>
        <v>30000</v>
      </c>
      <c r="C38" s="57"/>
      <c r="D38" s="57"/>
      <c r="E38" s="57"/>
      <c r="F38" s="59">
        <f t="shared" si="1"/>
        <v>30000</v>
      </c>
    </row>
    <row r="39" ht="15.75" customHeight="1">
      <c r="A39" s="58" t="s">
        <v>343</v>
      </c>
      <c r="B39" s="59">
        <f>1000</f>
        <v>1000</v>
      </c>
      <c r="C39" s="57"/>
      <c r="D39" s="57"/>
      <c r="E39" s="57"/>
      <c r="F39" s="59">
        <f t="shared" si="1"/>
        <v>1000</v>
      </c>
    </row>
    <row r="40" ht="15.75" customHeight="1">
      <c r="A40" s="58" t="s">
        <v>344</v>
      </c>
      <c r="B40" s="25">
        <f t="shared" ref="B40:E40" si="9">((((((B33)+(B34))+(B35))+(B36))+(B37))+(B38))+(B39)</f>
        <v>77517.8</v>
      </c>
      <c r="C40" s="25">
        <f t="shared" si="9"/>
        <v>0</v>
      </c>
      <c r="D40" s="25">
        <f t="shared" si="9"/>
        <v>0</v>
      </c>
      <c r="E40" s="25">
        <f t="shared" si="9"/>
        <v>0</v>
      </c>
      <c r="F40" s="25">
        <f t="shared" si="1"/>
        <v>77517.8</v>
      </c>
    </row>
    <row r="41" ht="15.75" customHeight="1">
      <c r="A41" s="58" t="s">
        <v>492</v>
      </c>
      <c r="B41" s="59">
        <f>16.15</f>
        <v>16.15</v>
      </c>
      <c r="C41" s="57"/>
      <c r="D41" s="57"/>
      <c r="E41" s="57"/>
      <c r="F41" s="59">
        <f t="shared" si="1"/>
        <v>16.15</v>
      </c>
    </row>
    <row r="42" ht="15.75" customHeight="1">
      <c r="A42" s="58" t="s">
        <v>351</v>
      </c>
      <c r="B42" s="25">
        <f t="shared" ref="B42:E42" si="10">((B32)+(B40))+(B41)</f>
        <v>77533.95</v>
      </c>
      <c r="C42" s="25">
        <f t="shared" si="10"/>
        <v>0</v>
      </c>
      <c r="D42" s="25">
        <f t="shared" si="10"/>
        <v>0</v>
      </c>
      <c r="E42" s="25">
        <f t="shared" si="10"/>
        <v>0</v>
      </c>
      <c r="F42" s="25">
        <f t="shared" si="1"/>
        <v>77533.95</v>
      </c>
    </row>
    <row r="43" ht="15.75" customHeight="1">
      <c r="A43" s="58" t="s">
        <v>493</v>
      </c>
      <c r="B43" s="59">
        <f>195</f>
        <v>195</v>
      </c>
      <c r="C43" s="57"/>
      <c r="D43" s="57"/>
      <c r="E43" s="57"/>
      <c r="F43" s="59">
        <f t="shared" si="1"/>
        <v>195</v>
      </c>
    </row>
    <row r="44" ht="15.75" customHeight="1">
      <c r="A44" s="58" t="s">
        <v>352</v>
      </c>
      <c r="B44" s="25">
        <f t="shared" ref="B44:E44" si="11">(((B25)+(B31))+(B42))+(B43)</f>
        <v>130159.07</v>
      </c>
      <c r="C44" s="25">
        <f t="shared" si="11"/>
        <v>0</v>
      </c>
      <c r="D44" s="25">
        <f t="shared" si="11"/>
        <v>0</v>
      </c>
      <c r="E44" s="25">
        <f t="shared" si="11"/>
        <v>0</v>
      </c>
      <c r="F44" s="25">
        <f t="shared" si="1"/>
        <v>130159.07</v>
      </c>
    </row>
    <row r="45" ht="15.75" customHeight="1">
      <c r="A45" s="58" t="s">
        <v>494</v>
      </c>
      <c r="B45" s="57"/>
      <c r="C45" s="59">
        <f>0</f>
        <v>0</v>
      </c>
      <c r="D45" s="57"/>
      <c r="E45" s="57"/>
      <c r="F45" s="59">
        <f t="shared" si="1"/>
        <v>0</v>
      </c>
    </row>
    <row r="46" ht="15.75" customHeight="1">
      <c r="A46" s="58" t="s">
        <v>223</v>
      </c>
      <c r="B46" s="25">
        <f t="shared" ref="B46:E46" si="12">((B24)+(B44))+(B45)</f>
        <v>130159.07</v>
      </c>
      <c r="C46" s="25">
        <f t="shared" si="12"/>
        <v>0</v>
      </c>
      <c r="D46" s="25">
        <f t="shared" si="12"/>
        <v>43787.34</v>
      </c>
      <c r="E46" s="25">
        <f t="shared" si="12"/>
        <v>54924.59</v>
      </c>
      <c r="F46" s="25">
        <f t="shared" si="1"/>
        <v>228871</v>
      </c>
    </row>
    <row r="47" ht="15.75" customHeight="1">
      <c r="A47" s="58" t="s">
        <v>224</v>
      </c>
      <c r="B47" s="25">
        <f t="shared" ref="B47:E47" si="13">(B46)-(0)</f>
        <v>130159.07</v>
      </c>
      <c r="C47" s="25">
        <f t="shared" si="13"/>
        <v>0</v>
      </c>
      <c r="D47" s="25">
        <f t="shared" si="13"/>
        <v>43787.34</v>
      </c>
      <c r="E47" s="25">
        <f t="shared" si="13"/>
        <v>54924.59</v>
      </c>
      <c r="F47" s="25">
        <f t="shared" si="1"/>
        <v>228871</v>
      </c>
    </row>
    <row r="48" ht="15.75" customHeight="1">
      <c r="A48" s="58" t="s">
        <v>225</v>
      </c>
      <c r="B48" s="57"/>
      <c r="C48" s="57"/>
      <c r="D48" s="57"/>
      <c r="E48" s="57"/>
      <c r="F48" s="57"/>
    </row>
    <row r="49" ht="15.75" customHeight="1">
      <c r="A49" s="58" t="s">
        <v>353</v>
      </c>
      <c r="B49" s="57"/>
      <c r="C49" s="57"/>
      <c r="D49" s="57"/>
      <c r="E49" s="57"/>
      <c r="F49" s="59">
        <f t="shared" ref="F49:F173" si="14">(((B49)+(C49))+(D49))+(E49)</f>
        <v>0</v>
      </c>
    </row>
    <row r="50" ht="15.75" customHeight="1">
      <c r="A50" s="58" t="s">
        <v>354</v>
      </c>
      <c r="B50" s="57"/>
      <c r="C50" s="57"/>
      <c r="D50" s="57"/>
      <c r="E50" s="57"/>
      <c r="F50" s="59">
        <f t="shared" si="14"/>
        <v>0</v>
      </c>
    </row>
    <row r="51" ht="15.75" customHeight="1">
      <c r="A51" s="58" t="s">
        <v>495</v>
      </c>
      <c r="B51" s="59">
        <f>3783.89</f>
        <v>3783.89</v>
      </c>
      <c r="C51" s="57"/>
      <c r="D51" s="57"/>
      <c r="E51" s="57"/>
      <c r="F51" s="59">
        <f t="shared" si="14"/>
        <v>3783.89</v>
      </c>
    </row>
    <row r="52" ht="15.75" customHeight="1">
      <c r="A52" s="58" t="s">
        <v>372</v>
      </c>
      <c r="B52" s="25">
        <f t="shared" ref="B52:E52" si="15">(B50)+(B51)</f>
        <v>3783.89</v>
      </c>
      <c r="C52" s="25">
        <f t="shared" si="15"/>
        <v>0</v>
      </c>
      <c r="D52" s="25">
        <f t="shared" si="15"/>
        <v>0</v>
      </c>
      <c r="E52" s="25">
        <f t="shared" si="15"/>
        <v>0</v>
      </c>
      <c r="F52" s="25">
        <f t="shared" si="14"/>
        <v>3783.89</v>
      </c>
    </row>
    <row r="53" ht="15.75" customHeight="1">
      <c r="A53" s="58" t="s">
        <v>373</v>
      </c>
      <c r="B53" s="57"/>
      <c r="C53" s="57"/>
      <c r="D53" s="57"/>
      <c r="E53" s="57"/>
      <c r="F53" s="59">
        <f t="shared" si="14"/>
        <v>0</v>
      </c>
    </row>
    <row r="54" ht="15.75" customHeight="1">
      <c r="A54" s="58" t="s">
        <v>374</v>
      </c>
      <c r="B54" s="57"/>
      <c r="C54" s="57"/>
      <c r="D54" s="57"/>
      <c r="E54" s="57"/>
      <c r="F54" s="59">
        <f t="shared" si="14"/>
        <v>0</v>
      </c>
    </row>
    <row r="55" ht="15.75" customHeight="1">
      <c r="A55" s="58" t="s">
        <v>375</v>
      </c>
      <c r="B55" s="59">
        <f>22802.63</f>
        <v>22802.63</v>
      </c>
      <c r="C55" s="57"/>
      <c r="D55" s="57"/>
      <c r="E55" s="57"/>
      <c r="F55" s="59">
        <f t="shared" si="14"/>
        <v>22802.63</v>
      </c>
    </row>
    <row r="56" ht="15.75" customHeight="1">
      <c r="A56" s="58" t="s">
        <v>376</v>
      </c>
      <c r="B56" s="59">
        <f>4785.4</f>
        <v>4785.4</v>
      </c>
      <c r="C56" s="57"/>
      <c r="D56" s="57"/>
      <c r="E56" s="57"/>
      <c r="F56" s="59">
        <f t="shared" si="14"/>
        <v>4785.4</v>
      </c>
    </row>
    <row r="57" ht="15.75" customHeight="1">
      <c r="A57" s="58" t="s">
        <v>377</v>
      </c>
      <c r="B57" s="25">
        <f t="shared" ref="B57:E57" si="16">((B54)+(B55))+(B56)</f>
        <v>27588.03</v>
      </c>
      <c r="C57" s="25">
        <f t="shared" si="16"/>
        <v>0</v>
      </c>
      <c r="D57" s="25">
        <f t="shared" si="16"/>
        <v>0</v>
      </c>
      <c r="E57" s="25">
        <f t="shared" si="16"/>
        <v>0</v>
      </c>
      <c r="F57" s="25">
        <f t="shared" si="14"/>
        <v>27588.03</v>
      </c>
    </row>
    <row r="58" ht="15.75" customHeight="1">
      <c r="A58" s="58" t="s">
        <v>378</v>
      </c>
      <c r="B58" s="57"/>
      <c r="C58" s="57"/>
      <c r="D58" s="57"/>
      <c r="E58" s="57"/>
      <c r="F58" s="59">
        <f t="shared" si="14"/>
        <v>0</v>
      </c>
    </row>
    <row r="59" ht="15.75" customHeight="1">
      <c r="A59" s="58" t="s">
        <v>379</v>
      </c>
      <c r="B59" s="59">
        <f>4252.96</f>
        <v>4252.96</v>
      </c>
      <c r="C59" s="57"/>
      <c r="D59" s="57"/>
      <c r="E59" s="57"/>
      <c r="F59" s="59">
        <f t="shared" si="14"/>
        <v>4252.96</v>
      </c>
    </row>
    <row r="60" ht="15.75" customHeight="1">
      <c r="A60" s="58" t="s">
        <v>380</v>
      </c>
      <c r="B60" s="25">
        <f t="shared" ref="B60:E60" si="17">(B58)+(B59)</f>
        <v>4252.96</v>
      </c>
      <c r="C60" s="25">
        <f t="shared" si="17"/>
        <v>0</v>
      </c>
      <c r="D60" s="25">
        <f t="shared" si="17"/>
        <v>0</v>
      </c>
      <c r="E60" s="25">
        <f t="shared" si="17"/>
        <v>0</v>
      </c>
      <c r="F60" s="25">
        <f t="shared" si="14"/>
        <v>4252.96</v>
      </c>
    </row>
    <row r="61" ht="15.75" customHeight="1">
      <c r="A61" s="58" t="s">
        <v>385</v>
      </c>
      <c r="B61" s="25">
        <f t="shared" ref="B61:E61" si="18">((B53)+(B57))+(B60)</f>
        <v>31840.99</v>
      </c>
      <c r="C61" s="25">
        <f t="shared" si="18"/>
        <v>0</v>
      </c>
      <c r="D61" s="25">
        <f t="shared" si="18"/>
        <v>0</v>
      </c>
      <c r="E61" s="25">
        <f t="shared" si="18"/>
        <v>0</v>
      </c>
      <c r="F61" s="25">
        <f t="shared" si="14"/>
        <v>31840.99</v>
      </c>
    </row>
    <row r="62" ht="15.75" customHeight="1">
      <c r="A62" s="58" t="s">
        <v>386</v>
      </c>
      <c r="B62" s="57"/>
      <c r="C62" s="57"/>
      <c r="D62" s="57"/>
      <c r="E62" s="57"/>
      <c r="F62" s="59">
        <f t="shared" si="14"/>
        <v>0</v>
      </c>
    </row>
    <row r="63" ht="15.75" customHeight="1">
      <c r="A63" s="58" t="s">
        <v>387</v>
      </c>
      <c r="B63" s="59">
        <f>2773.88</f>
        <v>2773.88</v>
      </c>
      <c r="C63" s="57"/>
      <c r="D63" s="57"/>
      <c r="E63" s="57"/>
      <c r="F63" s="59">
        <f t="shared" si="14"/>
        <v>2773.88</v>
      </c>
    </row>
    <row r="64" ht="15.75" customHeight="1">
      <c r="A64" s="58" t="s">
        <v>496</v>
      </c>
      <c r="B64" s="59">
        <f>2813.63</f>
        <v>2813.63</v>
      </c>
      <c r="C64" s="57"/>
      <c r="D64" s="57"/>
      <c r="E64" s="57"/>
      <c r="F64" s="59">
        <f t="shared" si="14"/>
        <v>2813.63</v>
      </c>
    </row>
    <row r="65" ht="15.75" customHeight="1">
      <c r="A65" s="58" t="s">
        <v>497</v>
      </c>
      <c r="B65" s="57"/>
      <c r="C65" s="57"/>
      <c r="D65" s="57"/>
      <c r="E65" s="57"/>
      <c r="F65" s="59">
        <f t="shared" si="14"/>
        <v>0</v>
      </c>
    </row>
    <row r="66" ht="15.75" customHeight="1">
      <c r="A66" s="58" t="s">
        <v>498</v>
      </c>
      <c r="B66" s="59">
        <f>2376.93</f>
        <v>2376.93</v>
      </c>
      <c r="C66" s="57"/>
      <c r="D66" s="57"/>
      <c r="E66" s="57"/>
      <c r="F66" s="59">
        <f t="shared" si="14"/>
        <v>2376.93</v>
      </c>
    </row>
    <row r="67" ht="15.75" customHeight="1">
      <c r="A67" s="58" t="s">
        <v>499</v>
      </c>
      <c r="B67" s="25">
        <f t="shared" ref="B67:E67" si="19">(B65)+(B66)</f>
        <v>2376.93</v>
      </c>
      <c r="C67" s="25">
        <f t="shared" si="19"/>
        <v>0</v>
      </c>
      <c r="D67" s="25">
        <f t="shared" si="19"/>
        <v>0</v>
      </c>
      <c r="E67" s="25">
        <f t="shared" si="19"/>
        <v>0</v>
      </c>
      <c r="F67" s="25">
        <f t="shared" si="14"/>
        <v>2376.93</v>
      </c>
    </row>
    <row r="68" ht="15.75" customHeight="1">
      <c r="A68" s="58" t="s">
        <v>397</v>
      </c>
      <c r="B68" s="59">
        <f>656.78</f>
        <v>656.78</v>
      </c>
      <c r="C68" s="57"/>
      <c r="D68" s="57"/>
      <c r="E68" s="57"/>
      <c r="F68" s="59">
        <f t="shared" si="14"/>
        <v>656.78</v>
      </c>
    </row>
    <row r="69" ht="15.75" customHeight="1">
      <c r="A69" s="58" t="s">
        <v>398</v>
      </c>
      <c r="B69" s="59">
        <f>-186.74</f>
        <v>-186.74</v>
      </c>
      <c r="C69" s="57"/>
      <c r="D69" s="57"/>
      <c r="E69" s="57"/>
      <c r="F69" s="59">
        <f t="shared" si="14"/>
        <v>-186.74</v>
      </c>
    </row>
    <row r="70" ht="15.75" customHeight="1">
      <c r="A70" s="58" t="s">
        <v>500</v>
      </c>
      <c r="B70" s="25">
        <f t="shared" ref="B70:E70" si="20">(((((B62)+(B63))+(B64))+(B67))+(B68))+(B69)</f>
        <v>8434.48</v>
      </c>
      <c r="C70" s="25">
        <f t="shared" si="20"/>
        <v>0</v>
      </c>
      <c r="D70" s="25">
        <f t="shared" si="20"/>
        <v>0</v>
      </c>
      <c r="E70" s="25">
        <f t="shared" si="20"/>
        <v>0</v>
      </c>
      <c r="F70" s="25">
        <f t="shared" si="14"/>
        <v>8434.48</v>
      </c>
    </row>
    <row r="71" ht="15.75" customHeight="1">
      <c r="A71" s="58" t="s">
        <v>400</v>
      </c>
      <c r="B71" s="57"/>
      <c r="C71" s="57"/>
      <c r="D71" s="57"/>
      <c r="E71" s="57"/>
      <c r="F71" s="59">
        <f t="shared" si="14"/>
        <v>0</v>
      </c>
    </row>
    <row r="72" ht="15.75" customHeight="1">
      <c r="A72" s="58" t="s">
        <v>501</v>
      </c>
      <c r="B72" s="59">
        <f>614.19</f>
        <v>614.19</v>
      </c>
      <c r="C72" s="57"/>
      <c r="D72" s="57"/>
      <c r="E72" s="57"/>
      <c r="F72" s="59">
        <f t="shared" si="14"/>
        <v>614.19</v>
      </c>
    </row>
    <row r="73" ht="15.75" customHeight="1">
      <c r="A73" s="58" t="s">
        <v>403</v>
      </c>
      <c r="B73" s="59">
        <f>1248.8</f>
        <v>1248.8</v>
      </c>
      <c r="C73" s="57"/>
      <c r="D73" s="57"/>
      <c r="E73" s="57"/>
      <c r="F73" s="59">
        <f t="shared" si="14"/>
        <v>1248.8</v>
      </c>
    </row>
    <row r="74" ht="15.75" customHeight="1">
      <c r="A74" s="58" t="s">
        <v>502</v>
      </c>
      <c r="B74" s="59">
        <f>851.17</f>
        <v>851.17</v>
      </c>
      <c r="C74" s="57"/>
      <c r="D74" s="57"/>
      <c r="E74" s="57"/>
      <c r="F74" s="59">
        <f t="shared" si="14"/>
        <v>851.17</v>
      </c>
    </row>
    <row r="75" ht="15.75" customHeight="1">
      <c r="A75" s="58" t="s">
        <v>406</v>
      </c>
      <c r="B75" s="59">
        <f>384.78</f>
        <v>384.78</v>
      </c>
      <c r="C75" s="57"/>
      <c r="D75" s="57"/>
      <c r="E75" s="57"/>
      <c r="F75" s="59">
        <f t="shared" si="14"/>
        <v>384.78</v>
      </c>
    </row>
    <row r="76" ht="15.75" customHeight="1">
      <c r="A76" s="58" t="s">
        <v>407</v>
      </c>
      <c r="B76" s="57"/>
      <c r="C76" s="57"/>
      <c r="D76" s="57"/>
      <c r="E76" s="57"/>
      <c r="F76" s="59">
        <f t="shared" si="14"/>
        <v>0</v>
      </c>
    </row>
    <row r="77" ht="15.75" customHeight="1">
      <c r="A77" s="58" t="s">
        <v>408</v>
      </c>
      <c r="B77" s="59">
        <f>636.02</f>
        <v>636.02</v>
      </c>
      <c r="C77" s="57"/>
      <c r="D77" s="57"/>
      <c r="E77" s="57"/>
      <c r="F77" s="59">
        <f t="shared" si="14"/>
        <v>636.02</v>
      </c>
    </row>
    <row r="78" ht="15.75" customHeight="1">
      <c r="A78" s="58" t="s">
        <v>409</v>
      </c>
      <c r="B78" s="59">
        <f>46.2</f>
        <v>46.2</v>
      </c>
      <c r="C78" s="57"/>
      <c r="D78" s="57"/>
      <c r="E78" s="57"/>
      <c r="F78" s="59">
        <f t="shared" si="14"/>
        <v>46.2</v>
      </c>
    </row>
    <row r="79" ht="15.75" customHeight="1">
      <c r="A79" s="58" t="s">
        <v>410</v>
      </c>
      <c r="B79" s="59">
        <f>305.49</f>
        <v>305.49</v>
      </c>
      <c r="C79" s="57"/>
      <c r="D79" s="57"/>
      <c r="E79" s="57"/>
      <c r="F79" s="59">
        <f t="shared" si="14"/>
        <v>305.49</v>
      </c>
    </row>
    <row r="80" ht="15.75" customHeight="1">
      <c r="A80" s="58" t="s">
        <v>411</v>
      </c>
      <c r="B80" s="25">
        <f t="shared" ref="B80:E80" si="21">(((B76)+(B77))+(B78))+(B79)</f>
        <v>987.71</v>
      </c>
      <c r="C80" s="25">
        <f t="shared" si="21"/>
        <v>0</v>
      </c>
      <c r="D80" s="25">
        <f t="shared" si="21"/>
        <v>0</v>
      </c>
      <c r="E80" s="25">
        <f t="shared" si="21"/>
        <v>0</v>
      </c>
      <c r="F80" s="25">
        <f t="shared" si="14"/>
        <v>987.71</v>
      </c>
    </row>
    <row r="81" ht="15.75" customHeight="1">
      <c r="A81" s="58" t="s">
        <v>413</v>
      </c>
      <c r="B81" s="57"/>
      <c r="C81" s="57"/>
      <c r="D81" s="57"/>
      <c r="E81" s="57"/>
      <c r="F81" s="59">
        <f t="shared" si="14"/>
        <v>0</v>
      </c>
    </row>
    <row r="82" ht="15.75" customHeight="1">
      <c r="A82" s="58" t="s">
        <v>414</v>
      </c>
      <c r="B82" s="59">
        <f>344.21</f>
        <v>344.21</v>
      </c>
      <c r="C82" s="57"/>
      <c r="D82" s="57"/>
      <c r="E82" s="57"/>
      <c r="F82" s="59">
        <f t="shared" si="14"/>
        <v>344.21</v>
      </c>
    </row>
    <row r="83" ht="15.75" customHeight="1">
      <c r="A83" s="58" t="s">
        <v>416</v>
      </c>
      <c r="B83" s="25">
        <f t="shared" ref="B83:E83" si="22">(B81)+(B82)</f>
        <v>344.21</v>
      </c>
      <c r="C83" s="25">
        <f t="shared" si="22"/>
        <v>0</v>
      </c>
      <c r="D83" s="25">
        <f t="shared" si="22"/>
        <v>0</v>
      </c>
      <c r="E83" s="25">
        <f t="shared" si="22"/>
        <v>0</v>
      </c>
      <c r="F83" s="25">
        <f t="shared" si="14"/>
        <v>344.21</v>
      </c>
    </row>
    <row r="84" ht="15.75" customHeight="1">
      <c r="A84" s="58" t="s">
        <v>417</v>
      </c>
      <c r="B84" s="59">
        <f>1141</f>
        <v>1141</v>
      </c>
      <c r="C84" s="57"/>
      <c r="D84" s="57"/>
      <c r="E84" s="57"/>
      <c r="F84" s="59">
        <f t="shared" si="14"/>
        <v>1141</v>
      </c>
    </row>
    <row r="85" ht="15.75" customHeight="1">
      <c r="A85" s="58" t="s">
        <v>418</v>
      </c>
      <c r="B85" s="59">
        <f>275</f>
        <v>275</v>
      </c>
      <c r="C85" s="57"/>
      <c r="D85" s="57"/>
      <c r="E85" s="57"/>
      <c r="F85" s="59">
        <f t="shared" si="14"/>
        <v>275</v>
      </c>
    </row>
    <row r="86" ht="15.75" customHeight="1">
      <c r="A86" s="58" t="s">
        <v>419</v>
      </c>
      <c r="B86" s="59">
        <f>723</f>
        <v>723</v>
      </c>
      <c r="C86" s="57"/>
      <c r="D86" s="57"/>
      <c r="E86" s="57"/>
      <c r="F86" s="59">
        <f t="shared" si="14"/>
        <v>723</v>
      </c>
    </row>
    <row r="87" ht="15.75" customHeight="1">
      <c r="A87" s="58" t="s">
        <v>420</v>
      </c>
      <c r="B87" s="59">
        <f>669</f>
        <v>669</v>
      </c>
      <c r="C87" s="57"/>
      <c r="D87" s="57"/>
      <c r="E87" s="57"/>
      <c r="F87" s="59">
        <f t="shared" si="14"/>
        <v>669</v>
      </c>
    </row>
    <row r="88" ht="15.75" customHeight="1">
      <c r="A88" s="58" t="s">
        <v>421</v>
      </c>
      <c r="B88" s="59">
        <f>81</f>
        <v>81</v>
      </c>
      <c r="C88" s="57"/>
      <c r="D88" s="57"/>
      <c r="E88" s="57"/>
      <c r="F88" s="59">
        <f t="shared" si="14"/>
        <v>81</v>
      </c>
    </row>
    <row r="89" ht="15.75" customHeight="1">
      <c r="A89" s="58" t="s">
        <v>423</v>
      </c>
      <c r="B89" s="59">
        <f>2523.98</f>
        <v>2523.98</v>
      </c>
      <c r="C89" s="57"/>
      <c r="D89" s="57"/>
      <c r="E89" s="57"/>
      <c r="F89" s="59">
        <f t="shared" si="14"/>
        <v>2523.98</v>
      </c>
    </row>
    <row r="90" ht="15.75" customHeight="1">
      <c r="A90" s="58" t="s">
        <v>424</v>
      </c>
      <c r="B90" s="59">
        <f>395.99</f>
        <v>395.99</v>
      </c>
      <c r="C90" s="57"/>
      <c r="D90" s="57"/>
      <c r="E90" s="57"/>
      <c r="F90" s="59">
        <f t="shared" si="14"/>
        <v>395.99</v>
      </c>
    </row>
    <row r="91" ht="15.75" customHeight="1">
      <c r="A91" s="58" t="s">
        <v>442</v>
      </c>
      <c r="B91" s="59">
        <f>320</f>
        <v>320</v>
      </c>
      <c r="C91" s="57"/>
      <c r="D91" s="57"/>
      <c r="E91" s="57"/>
      <c r="F91" s="59">
        <f t="shared" si="14"/>
        <v>320</v>
      </c>
    </row>
    <row r="92" ht="15.75" customHeight="1">
      <c r="A92" s="58" t="s">
        <v>444</v>
      </c>
      <c r="B92" s="25">
        <f t="shared" ref="B92:E92" si="23">((((((((((((((B71)+(B72))+(B73))+(B74))+(B75))+(B80))+(B83))+(B84))+(B85))+(B86))+(B87))+(B88))+(B89))+(B90))+(B91)</f>
        <v>10559.83</v>
      </c>
      <c r="C92" s="25">
        <f t="shared" si="23"/>
        <v>0</v>
      </c>
      <c r="D92" s="25">
        <f t="shared" si="23"/>
        <v>0</v>
      </c>
      <c r="E92" s="25">
        <f t="shared" si="23"/>
        <v>0</v>
      </c>
      <c r="F92" s="25">
        <f t="shared" si="14"/>
        <v>10559.83</v>
      </c>
    </row>
    <row r="93" ht="15.75" customHeight="1">
      <c r="A93" s="58" t="s">
        <v>445</v>
      </c>
      <c r="B93" s="57"/>
      <c r="C93" s="57"/>
      <c r="D93" s="57"/>
      <c r="E93" s="57"/>
      <c r="F93" s="59">
        <f t="shared" si="14"/>
        <v>0</v>
      </c>
    </row>
    <row r="94" ht="15.75" customHeight="1">
      <c r="A94" s="58" t="s">
        <v>446</v>
      </c>
      <c r="B94" s="57"/>
      <c r="C94" s="57"/>
      <c r="D94" s="57"/>
      <c r="E94" s="57"/>
      <c r="F94" s="59">
        <f t="shared" si="14"/>
        <v>0</v>
      </c>
    </row>
    <row r="95" ht="15.75" customHeight="1">
      <c r="A95" s="58" t="s">
        <v>447</v>
      </c>
      <c r="B95" s="59">
        <f>239.25</f>
        <v>239.25</v>
      </c>
      <c r="C95" s="57"/>
      <c r="D95" s="57"/>
      <c r="E95" s="57"/>
      <c r="F95" s="59">
        <f t="shared" si="14"/>
        <v>239.25</v>
      </c>
    </row>
    <row r="96" ht="15.75" customHeight="1">
      <c r="A96" s="58" t="s">
        <v>448</v>
      </c>
      <c r="B96" s="59">
        <f>3423.55</f>
        <v>3423.55</v>
      </c>
      <c r="C96" s="57"/>
      <c r="D96" s="57"/>
      <c r="E96" s="57"/>
      <c r="F96" s="59">
        <f t="shared" si="14"/>
        <v>3423.55</v>
      </c>
    </row>
    <row r="97" ht="15.75" customHeight="1">
      <c r="A97" s="58" t="s">
        <v>449</v>
      </c>
      <c r="B97" s="25">
        <f t="shared" ref="B97:E97" si="24">((B94)+(B95))+(B96)</f>
        <v>3662.8</v>
      </c>
      <c r="C97" s="25">
        <f t="shared" si="24"/>
        <v>0</v>
      </c>
      <c r="D97" s="25">
        <f t="shared" si="24"/>
        <v>0</v>
      </c>
      <c r="E97" s="25">
        <f t="shared" si="24"/>
        <v>0</v>
      </c>
      <c r="F97" s="25">
        <f t="shared" si="14"/>
        <v>3662.8</v>
      </c>
    </row>
    <row r="98" ht="15.75" customHeight="1">
      <c r="A98" s="58" t="s">
        <v>450</v>
      </c>
      <c r="B98" s="57"/>
      <c r="C98" s="57"/>
      <c r="D98" s="57"/>
      <c r="E98" s="57"/>
      <c r="F98" s="59">
        <f t="shared" si="14"/>
        <v>0</v>
      </c>
    </row>
    <row r="99" ht="15.75" customHeight="1">
      <c r="A99" s="58" t="s">
        <v>451</v>
      </c>
      <c r="B99" s="59">
        <f>642.66</f>
        <v>642.66</v>
      </c>
      <c r="C99" s="57"/>
      <c r="D99" s="57"/>
      <c r="E99" s="57"/>
      <c r="F99" s="59">
        <f t="shared" si="14"/>
        <v>642.66</v>
      </c>
    </row>
    <row r="100" ht="15.75" customHeight="1">
      <c r="A100" s="58" t="s">
        <v>452</v>
      </c>
      <c r="B100" s="59">
        <f>175.53</f>
        <v>175.53</v>
      </c>
      <c r="C100" s="57"/>
      <c r="D100" s="57"/>
      <c r="E100" s="57"/>
      <c r="F100" s="59">
        <f t="shared" si="14"/>
        <v>175.53</v>
      </c>
    </row>
    <row r="101" ht="15.75" customHeight="1">
      <c r="A101" s="58" t="s">
        <v>454</v>
      </c>
      <c r="B101" s="25">
        <f t="shared" ref="B101:E101" si="25">((B98)+(B99))+(B100)</f>
        <v>818.19</v>
      </c>
      <c r="C101" s="25">
        <f t="shared" si="25"/>
        <v>0</v>
      </c>
      <c r="D101" s="25">
        <f t="shared" si="25"/>
        <v>0</v>
      </c>
      <c r="E101" s="25">
        <f t="shared" si="25"/>
        <v>0</v>
      </c>
      <c r="F101" s="25">
        <f t="shared" si="14"/>
        <v>818.19</v>
      </c>
    </row>
    <row r="102" ht="15.75" customHeight="1">
      <c r="A102" s="58" t="s">
        <v>455</v>
      </c>
      <c r="B102" s="57"/>
      <c r="C102" s="57"/>
      <c r="D102" s="57"/>
      <c r="E102" s="57"/>
      <c r="F102" s="59">
        <f t="shared" si="14"/>
        <v>0</v>
      </c>
    </row>
    <row r="103" ht="15.75" customHeight="1">
      <c r="A103" s="58" t="s">
        <v>456</v>
      </c>
      <c r="B103" s="59">
        <f t="shared" ref="B103:B104" si="26">184.05</f>
        <v>184.05</v>
      </c>
      <c r="C103" s="57"/>
      <c r="D103" s="57"/>
      <c r="E103" s="57"/>
      <c r="F103" s="59">
        <f t="shared" si="14"/>
        <v>184.05</v>
      </c>
    </row>
    <row r="104" ht="15.75" customHeight="1">
      <c r="A104" s="58" t="s">
        <v>457</v>
      </c>
      <c r="B104" s="59">
        <f t="shared" si="26"/>
        <v>184.05</v>
      </c>
      <c r="C104" s="57"/>
      <c r="D104" s="57"/>
      <c r="E104" s="57"/>
      <c r="F104" s="59">
        <f t="shared" si="14"/>
        <v>184.05</v>
      </c>
    </row>
    <row r="105" ht="15.75" customHeight="1">
      <c r="A105" s="58" t="s">
        <v>458</v>
      </c>
      <c r="B105" s="59">
        <f>232.89</f>
        <v>232.89</v>
      </c>
      <c r="C105" s="57"/>
      <c r="D105" s="57"/>
      <c r="E105" s="57"/>
      <c r="F105" s="59">
        <f t="shared" si="14"/>
        <v>232.89</v>
      </c>
    </row>
    <row r="106" ht="15.75" customHeight="1">
      <c r="A106" s="58" t="s">
        <v>460</v>
      </c>
      <c r="B106" s="59">
        <f>1731.92</f>
        <v>1731.92</v>
      </c>
      <c r="C106" s="57"/>
      <c r="D106" s="57"/>
      <c r="E106" s="57"/>
      <c r="F106" s="59">
        <f t="shared" si="14"/>
        <v>1731.92</v>
      </c>
    </row>
    <row r="107" ht="15.75" customHeight="1">
      <c r="A107" s="58" t="s">
        <v>463</v>
      </c>
      <c r="B107" s="25">
        <f t="shared" ref="B107:E107" si="27">((((B102)+(B103))+(B104))+(B105))+(B106)</f>
        <v>2332.91</v>
      </c>
      <c r="C107" s="25">
        <f t="shared" si="27"/>
        <v>0</v>
      </c>
      <c r="D107" s="25">
        <f t="shared" si="27"/>
        <v>0</v>
      </c>
      <c r="E107" s="25">
        <f t="shared" si="27"/>
        <v>0</v>
      </c>
      <c r="F107" s="25">
        <f t="shared" si="14"/>
        <v>2332.91</v>
      </c>
    </row>
    <row r="108" ht="15.75" customHeight="1">
      <c r="A108" s="58" t="s">
        <v>464</v>
      </c>
      <c r="B108" s="57"/>
      <c r="C108" s="57"/>
      <c r="D108" s="57"/>
      <c r="E108" s="57"/>
      <c r="F108" s="59">
        <f t="shared" si="14"/>
        <v>0</v>
      </c>
    </row>
    <row r="109" ht="15.75" customHeight="1">
      <c r="A109" s="58" t="s">
        <v>465</v>
      </c>
      <c r="B109" s="59">
        <f>112.03</f>
        <v>112.03</v>
      </c>
      <c r="C109" s="57"/>
      <c r="D109" s="57"/>
      <c r="E109" s="57"/>
      <c r="F109" s="59">
        <f t="shared" si="14"/>
        <v>112.03</v>
      </c>
    </row>
    <row r="110" ht="15.75" customHeight="1">
      <c r="A110" s="58" t="s">
        <v>471</v>
      </c>
      <c r="B110" s="59">
        <f>208.83</f>
        <v>208.83</v>
      </c>
      <c r="C110" s="57"/>
      <c r="D110" s="57"/>
      <c r="E110" s="57"/>
      <c r="F110" s="59">
        <f t="shared" si="14"/>
        <v>208.83</v>
      </c>
    </row>
    <row r="111" ht="15.75" customHeight="1">
      <c r="A111" s="58" t="s">
        <v>475</v>
      </c>
      <c r="B111" s="25">
        <f t="shared" ref="B111:E111" si="28">((B108)+(B109))+(B110)</f>
        <v>320.86</v>
      </c>
      <c r="C111" s="25">
        <f t="shared" si="28"/>
        <v>0</v>
      </c>
      <c r="D111" s="25">
        <f t="shared" si="28"/>
        <v>0</v>
      </c>
      <c r="E111" s="25">
        <f t="shared" si="28"/>
        <v>0</v>
      </c>
      <c r="F111" s="25">
        <f t="shared" si="14"/>
        <v>320.86</v>
      </c>
    </row>
    <row r="112" ht="15.75" customHeight="1">
      <c r="A112" s="58" t="s">
        <v>476</v>
      </c>
      <c r="B112" s="25">
        <f t="shared" ref="B112:E112" si="29">((((B93)+(B97))+(B101))+(B107))+(B111)</f>
        <v>7134.76</v>
      </c>
      <c r="C112" s="25">
        <f t="shared" si="29"/>
        <v>0</v>
      </c>
      <c r="D112" s="25">
        <f t="shared" si="29"/>
        <v>0</v>
      </c>
      <c r="E112" s="25">
        <f t="shared" si="29"/>
        <v>0</v>
      </c>
      <c r="F112" s="25">
        <f t="shared" si="14"/>
        <v>7134.76</v>
      </c>
    </row>
    <row r="113" ht="15.75" customHeight="1">
      <c r="A113" s="58" t="s">
        <v>477</v>
      </c>
      <c r="B113" s="25">
        <f t="shared" ref="B113:E113" si="30">(((((B49)+(B52))+(B61))+(B70))+(B92))+(B112)</f>
        <v>61753.95</v>
      </c>
      <c r="C113" s="25">
        <f t="shared" si="30"/>
        <v>0</v>
      </c>
      <c r="D113" s="25">
        <f t="shared" si="30"/>
        <v>0</v>
      </c>
      <c r="E113" s="25">
        <f t="shared" si="30"/>
        <v>0</v>
      </c>
      <c r="F113" s="25">
        <f t="shared" si="14"/>
        <v>61753.95</v>
      </c>
    </row>
    <row r="114" ht="15.75" customHeight="1">
      <c r="A114" s="58" t="s">
        <v>226</v>
      </c>
      <c r="B114" s="57"/>
      <c r="C114" s="57"/>
      <c r="D114" s="57"/>
      <c r="E114" s="57"/>
      <c r="F114" s="59">
        <f t="shared" si="14"/>
        <v>0</v>
      </c>
    </row>
    <row r="115" ht="15.75" customHeight="1">
      <c r="A115" s="58" t="s">
        <v>227</v>
      </c>
      <c r="B115" s="57"/>
      <c r="C115" s="57"/>
      <c r="D115" s="57"/>
      <c r="E115" s="57"/>
      <c r="F115" s="59">
        <f t="shared" si="14"/>
        <v>0</v>
      </c>
    </row>
    <row r="116" ht="15.75" customHeight="1">
      <c r="A116" s="58" t="s">
        <v>228</v>
      </c>
      <c r="B116" s="57"/>
      <c r="C116" s="57"/>
      <c r="D116" s="57"/>
      <c r="E116" s="57"/>
      <c r="F116" s="59">
        <f t="shared" si="14"/>
        <v>0</v>
      </c>
    </row>
    <row r="117" ht="15.75" customHeight="1">
      <c r="A117" s="58" t="s">
        <v>229</v>
      </c>
      <c r="B117" s="57"/>
      <c r="C117" s="57"/>
      <c r="D117" s="57"/>
      <c r="E117" s="57"/>
      <c r="F117" s="59">
        <f t="shared" si="14"/>
        <v>0</v>
      </c>
    </row>
    <row r="118" ht="15.75" customHeight="1">
      <c r="A118" s="58" t="s">
        <v>230</v>
      </c>
      <c r="B118" s="57"/>
      <c r="C118" s="57"/>
      <c r="D118" s="57"/>
      <c r="E118" s="59">
        <f>17147.08</f>
        <v>17147.08</v>
      </c>
      <c r="F118" s="59">
        <f t="shared" si="14"/>
        <v>17147.08</v>
      </c>
    </row>
    <row r="119" ht="15.75" customHeight="1">
      <c r="A119" s="58" t="s">
        <v>503</v>
      </c>
      <c r="B119" s="57"/>
      <c r="C119" s="57"/>
      <c r="D119" s="57"/>
      <c r="E119" s="59">
        <f>-22.69</f>
        <v>-22.69</v>
      </c>
      <c r="F119" s="59">
        <f t="shared" si="14"/>
        <v>-22.69</v>
      </c>
    </row>
    <row r="120" ht="15.75" customHeight="1">
      <c r="A120" s="58" t="s">
        <v>504</v>
      </c>
      <c r="B120" s="57"/>
      <c r="C120" s="57"/>
      <c r="D120" s="57"/>
      <c r="E120" s="59">
        <f>10494.24</f>
        <v>10494.24</v>
      </c>
      <c r="F120" s="59">
        <f t="shared" si="14"/>
        <v>10494.24</v>
      </c>
    </row>
    <row r="121" ht="15.75" customHeight="1">
      <c r="A121" s="58" t="s">
        <v>505</v>
      </c>
      <c r="B121" s="57"/>
      <c r="C121" s="57"/>
      <c r="D121" s="57"/>
      <c r="E121" s="59">
        <f>432.3</f>
        <v>432.3</v>
      </c>
      <c r="F121" s="59">
        <f t="shared" si="14"/>
        <v>432.3</v>
      </c>
    </row>
    <row r="122" ht="15.75" customHeight="1">
      <c r="A122" s="58" t="s">
        <v>506</v>
      </c>
      <c r="B122" s="57"/>
      <c r="C122" s="57"/>
      <c r="D122" s="57"/>
      <c r="E122" s="59">
        <f>1026.98</f>
        <v>1026.98</v>
      </c>
      <c r="F122" s="59">
        <f t="shared" si="14"/>
        <v>1026.98</v>
      </c>
    </row>
    <row r="123" ht="15.75" customHeight="1">
      <c r="A123" s="58" t="s">
        <v>240</v>
      </c>
      <c r="B123" s="25">
        <f t="shared" ref="B123:E123" si="31">(((((B117)+(B118))+(B119))+(B120))+(B121))+(B122)</f>
        <v>0</v>
      </c>
      <c r="C123" s="25">
        <f t="shared" si="31"/>
        <v>0</v>
      </c>
      <c r="D123" s="25">
        <f t="shared" si="31"/>
        <v>0</v>
      </c>
      <c r="E123" s="25">
        <f t="shared" si="31"/>
        <v>29077.91</v>
      </c>
      <c r="F123" s="25">
        <f t="shared" si="14"/>
        <v>29077.91</v>
      </c>
    </row>
    <row r="124" ht="15.75" customHeight="1">
      <c r="A124" s="58" t="s">
        <v>241</v>
      </c>
      <c r="B124" s="25">
        <f t="shared" ref="B124:E124" si="32">(B116)+(B123)</f>
        <v>0</v>
      </c>
      <c r="C124" s="25">
        <f t="shared" si="32"/>
        <v>0</v>
      </c>
      <c r="D124" s="25">
        <f t="shared" si="32"/>
        <v>0</v>
      </c>
      <c r="E124" s="25">
        <f t="shared" si="32"/>
        <v>29077.91</v>
      </c>
      <c r="F124" s="25">
        <f t="shared" si="14"/>
        <v>29077.91</v>
      </c>
    </row>
    <row r="125" ht="15.75" customHeight="1">
      <c r="A125" s="58" t="s">
        <v>242</v>
      </c>
      <c r="B125" s="57"/>
      <c r="C125" s="57"/>
      <c r="D125" s="57"/>
      <c r="E125" s="57"/>
      <c r="F125" s="59">
        <f t="shared" si="14"/>
        <v>0</v>
      </c>
    </row>
    <row r="126" ht="15.75" customHeight="1">
      <c r="A126" s="58" t="s">
        <v>243</v>
      </c>
      <c r="B126" s="57"/>
      <c r="C126" s="57"/>
      <c r="D126" s="57"/>
      <c r="E126" s="59">
        <f>4622.12</f>
        <v>4622.12</v>
      </c>
      <c r="F126" s="59">
        <f t="shared" si="14"/>
        <v>4622.12</v>
      </c>
    </row>
    <row r="127" ht="15.75" customHeight="1">
      <c r="A127" s="58" t="s">
        <v>507</v>
      </c>
      <c r="B127" s="57"/>
      <c r="C127" s="57"/>
      <c r="D127" s="57"/>
      <c r="E127" s="59">
        <f>277.8</f>
        <v>277.8</v>
      </c>
      <c r="F127" s="59">
        <f t="shared" si="14"/>
        <v>277.8</v>
      </c>
    </row>
    <row r="128" ht="15.75" customHeight="1">
      <c r="A128" s="58" t="s">
        <v>508</v>
      </c>
      <c r="B128" s="57"/>
      <c r="C128" s="57"/>
      <c r="D128" s="57"/>
      <c r="E128" s="59">
        <f>436.78</f>
        <v>436.78</v>
      </c>
      <c r="F128" s="59">
        <f t="shared" si="14"/>
        <v>436.78</v>
      </c>
    </row>
    <row r="129" ht="15.75" customHeight="1">
      <c r="A129" s="58" t="s">
        <v>246</v>
      </c>
      <c r="B129" s="57"/>
      <c r="C129" s="57"/>
      <c r="D129" s="57"/>
      <c r="E129" s="59">
        <f>26.2</f>
        <v>26.2</v>
      </c>
      <c r="F129" s="59">
        <f t="shared" si="14"/>
        <v>26.2</v>
      </c>
    </row>
    <row r="130" ht="15.75" customHeight="1">
      <c r="A130" s="58" t="s">
        <v>247</v>
      </c>
      <c r="B130" s="25">
        <f t="shared" ref="B130:E130" si="33">((((B125)+(B126))+(B127))+(B128))+(B129)</f>
        <v>0</v>
      </c>
      <c r="C130" s="25">
        <f t="shared" si="33"/>
        <v>0</v>
      </c>
      <c r="D130" s="25">
        <f t="shared" si="33"/>
        <v>0</v>
      </c>
      <c r="E130" s="25">
        <f t="shared" si="33"/>
        <v>5362.9</v>
      </c>
      <c r="F130" s="25">
        <f t="shared" si="14"/>
        <v>5362.9</v>
      </c>
    </row>
    <row r="131" ht="15.75" customHeight="1">
      <c r="A131" s="58" t="s">
        <v>248</v>
      </c>
      <c r="B131" s="57"/>
      <c r="C131" s="57"/>
      <c r="D131" s="57"/>
      <c r="E131" s="57"/>
      <c r="F131" s="59">
        <f t="shared" si="14"/>
        <v>0</v>
      </c>
    </row>
    <row r="132" ht="15.75" customHeight="1">
      <c r="A132" s="58" t="s">
        <v>509</v>
      </c>
      <c r="B132" s="57"/>
      <c r="C132" s="57"/>
      <c r="D132" s="57"/>
      <c r="E132" s="59">
        <f>5882.1</f>
        <v>5882.1</v>
      </c>
      <c r="F132" s="59">
        <f t="shared" si="14"/>
        <v>5882.1</v>
      </c>
    </row>
    <row r="133" ht="15.75" customHeight="1">
      <c r="A133" s="58" t="s">
        <v>510</v>
      </c>
      <c r="B133" s="57"/>
      <c r="C133" s="57"/>
      <c r="D133" s="57"/>
      <c r="E133" s="59">
        <f>1454.79</f>
        <v>1454.79</v>
      </c>
      <c r="F133" s="59">
        <f t="shared" si="14"/>
        <v>1454.79</v>
      </c>
    </row>
    <row r="134" ht="15.75" customHeight="1">
      <c r="A134" s="58" t="s">
        <v>511</v>
      </c>
      <c r="B134" s="57"/>
      <c r="C134" s="57"/>
      <c r="D134" s="57"/>
      <c r="E134" s="59">
        <f>878.21</f>
        <v>878.21</v>
      </c>
      <c r="F134" s="59">
        <f t="shared" si="14"/>
        <v>878.21</v>
      </c>
    </row>
    <row r="135" ht="15.75" customHeight="1">
      <c r="A135" s="58" t="s">
        <v>512</v>
      </c>
      <c r="B135" s="57"/>
      <c r="C135" s="57"/>
      <c r="D135" s="57"/>
      <c r="E135" s="59">
        <f>108.44</f>
        <v>108.44</v>
      </c>
      <c r="F135" s="59">
        <f t="shared" si="14"/>
        <v>108.44</v>
      </c>
    </row>
    <row r="136" ht="15.75" customHeight="1">
      <c r="A136" s="58" t="s">
        <v>254</v>
      </c>
      <c r="B136" s="57"/>
      <c r="C136" s="57"/>
      <c r="D136" s="57"/>
      <c r="E136" s="59">
        <f>59.74</f>
        <v>59.74</v>
      </c>
      <c r="F136" s="59">
        <f t="shared" si="14"/>
        <v>59.74</v>
      </c>
    </row>
    <row r="137" ht="15.75" customHeight="1">
      <c r="A137" s="58" t="s">
        <v>513</v>
      </c>
      <c r="B137" s="25">
        <f t="shared" ref="B137:E137" si="34">(((((B131)+(B132))+(B133))+(B134))+(B135))+(B136)</f>
        <v>0</v>
      </c>
      <c r="C137" s="25">
        <f t="shared" si="34"/>
        <v>0</v>
      </c>
      <c r="D137" s="25">
        <f t="shared" si="34"/>
        <v>0</v>
      </c>
      <c r="E137" s="25">
        <f t="shared" si="34"/>
        <v>8383.28</v>
      </c>
      <c r="F137" s="25">
        <f t="shared" si="14"/>
        <v>8383.28</v>
      </c>
    </row>
    <row r="138" ht="15.75" customHeight="1">
      <c r="A138" s="58" t="s">
        <v>256</v>
      </c>
      <c r="B138" s="57"/>
      <c r="C138" s="57"/>
      <c r="D138" s="57"/>
      <c r="E138" s="57"/>
      <c r="F138" s="59">
        <f t="shared" si="14"/>
        <v>0</v>
      </c>
    </row>
    <row r="139" ht="15.75" customHeight="1">
      <c r="A139" s="58" t="s">
        <v>258</v>
      </c>
      <c r="B139" s="57"/>
      <c r="C139" s="57"/>
      <c r="D139" s="57"/>
      <c r="E139" s="59">
        <f>924.63</f>
        <v>924.63</v>
      </c>
      <c r="F139" s="59">
        <f t="shared" si="14"/>
        <v>924.63</v>
      </c>
    </row>
    <row r="140" ht="15.75" customHeight="1">
      <c r="A140" s="58" t="s">
        <v>514</v>
      </c>
      <c r="B140" s="57"/>
      <c r="C140" s="57"/>
      <c r="D140" s="57"/>
      <c r="E140" s="59">
        <f>197.78</f>
        <v>197.78</v>
      </c>
      <c r="F140" s="59">
        <f t="shared" si="14"/>
        <v>197.78</v>
      </c>
    </row>
    <row r="141" ht="15.75" customHeight="1">
      <c r="A141" s="58" t="s">
        <v>515</v>
      </c>
      <c r="B141" s="57"/>
      <c r="C141" s="57"/>
      <c r="D141" s="57"/>
      <c r="E141" s="59">
        <f>1582.37</f>
        <v>1582.37</v>
      </c>
      <c r="F141" s="59">
        <f t="shared" si="14"/>
        <v>1582.37</v>
      </c>
    </row>
    <row r="142" ht="15.75" customHeight="1">
      <c r="A142" s="58" t="s">
        <v>262</v>
      </c>
      <c r="B142" s="25">
        <f t="shared" ref="B142:E142" si="35">(((B138)+(B139))+(B140))+(B141)</f>
        <v>0</v>
      </c>
      <c r="C142" s="25">
        <f t="shared" si="35"/>
        <v>0</v>
      </c>
      <c r="D142" s="25">
        <f t="shared" si="35"/>
        <v>0</v>
      </c>
      <c r="E142" s="25">
        <f t="shared" si="35"/>
        <v>2704.78</v>
      </c>
      <c r="F142" s="25">
        <f t="shared" si="14"/>
        <v>2704.78</v>
      </c>
    </row>
    <row r="143" ht="15.75" customHeight="1">
      <c r="A143" s="58" t="s">
        <v>263</v>
      </c>
      <c r="B143" s="25">
        <f t="shared" ref="B143:E143" si="36">((((B115)+(B124))+(B130))+(B137))+(B142)</f>
        <v>0</v>
      </c>
      <c r="C143" s="25">
        <f t="shared" si="36"/>
        <v>0</v>
      </c>
      <c r="D143" s="25">
        <f t="shared" si="36"/>
        <v>0</v>
      </c>
      <c r="E143" s="25">
        <f t="shared" si="36"/>
        <v>45528.87</v>
      </c>
      <c r="F143" s="25">
        <f t="shared" si="14"/>
        <v>45528.87</v>
      </c>
    </row>
    <row r="144" ht="15.75" customHeight="1">
      <c r="A144" s="58" t="s">
        <v>264</v>
      </c>
      <c r="B144" s="57"/>
      <c r="C144" s="57"/>
      <c r="D144" s="57"/>
      <c r="E144" s="57"/>
      <c r="F144" s="59">
        <f t="shared" si="14"/>
        <v>0</v>
      </c>
    </row>
    <row r="145" ht="15.75" customHeight="1">
      <c r="A145" s="58" t="s">
        <v>270</v>
      </c>
      <c r="B145" s="57"/>
      <c r="C145" s="57"/>
      <c r="D145" s="59">
        <f>30000</f>
        <v>30000</v>
      </c>
      <c r="E145" s="57"/>
      <c r="F145" s="59">
        <f t="shared" si="14"/>
        <v>30000</v>
      </c>
    </row>
    <row r="146" ht="15.75" customHeight="1">
      <c r="A146" s="58" t="s">
        <v>278</v>
      </c>
      <c r="B146" s="25">
        <f t="shared" ref="B146:E146" si="37">(B144)+(B145)</f>
        <v>0</v>
      </c>
      <c r="C146" s="25">
        <f t="shared" si="37"/>
        <v>0</v>
      </c>
      <c r="D146" s="25">
        <f t="shared" si="37"/>
        <v>30000</v>
      </c>
      <c r="E146" s="25">
        <f t="shared" si="37"/>
        <v>0</v>
      </c>
      <c r="F146" s="25">
        <f t="shared" si="14"/>
        <v>30000</v>
      </c>
    </row>
    <row r="147" ht="15.75" customHeight="1">
      <c r="A147" s="58" t="s">
        <v>279</v>
      </c>
      <c r="B147" s="57"/>
      <c r="C147" s="57"/>
      <c r="D147" s="57"/>
      <c r="E147" s="57"/>
      <c r="F147" s="59">
        <f t="shared" si="14"/>
        <v>0</v>
      </c>
    </row>
    <row r="148" ht="15.75" customHeight="1">
      <c r="A148" s="58" t="s">
        <v>280</v>
      </c>
      <c r="B148" s="57"/>
      <c r="C148" s="57"/>
      <c r="D148" s="57"/>
      <c r="E148" s="57"/>
      <c r="F148" s="59">
        <f t="shared" si="14"/>
        <v>0</v>
      </c>
    </row>
    <row r="149" ht="15.75" customHeight="1">
      <c r="A149" s="58" t="s">
        <v>283</v>
      </c>
      <c r="B149" s="57"/>
      <c r="C149" s="57"/>
      <c r="D149" s="57"/>
      <c r="E149" s="59">
        <f>280.87</f>
        <v>280.87</v>
      </c>
      <c r="F149" s="59">
        <f t="shared" si="14"/>
        <v>280.87</v>
      </c>
    </row>
    <row r="150" ht="15.75" customHeight="1">
      <c r="A150" s="58" t="s">
        <v>285</v>
      </c>
      <c r="B150" s="57"/>
      <c r="C150" s="57"/>
      <c r="D150" s="57"/>
      <c r="E150" s="59">
        <f>150</f>
        <v>150</v>
      </c>
      <c r="F150" s="59">
        <f t="shared" si="14"/>
        <v>150</v>
      </c>
    </row>
    <row r="151" ht="15.75" customHeight="1">
      <c r="A151" s="58" t="s">
        <v>288</v>
      </c>
      <c r="B151" s="57"/>
      <c r="C151" s="57"/>
      <c r="D151" s="57"/>
      <c r="E151" s="59">
        <f>1771.91</f>
        <v>1771.91</v>
      </c>
      <c r="F151" s="59">
        <f t="shared" si="14"/>
        <v>1771.91</v>
      </c>
    </row>
    <row r="152" ht="15.75" customHeight="1">
      <c r="A152" s="58" t="s">
        <v>289</v>
      </c>
      <c r="B152" s="57"/>
      <c r="C152" s="57"/>
      <c r="D152" s="57"/>
      <c r="E152" s="57"/>
      <c r="F152" s="59">
        <f t="shared" si="14"/>
        <v>0</v>
      </c>
    </row>
    <row r="153" ht="15.75" customHeight="1">
      <c r="A153" s="58" t="s">
        <v>516</v>
      </c>
      <c r="B153" s="57"/>
      <c r="C153" s="57"/>
      <c r="D153" s="57"/>
      <c r="E153" s="59">
        <f>100</f>
        <v>100</v>
      </c>
      <c r="F153" s="59">
        <f t="shared" si="14"/>
        <v>100</v>
      </c>
    </row>
    <row r="154" ht="15.75" customHeight="1">
      <c r="A154" s="58" t="s">
        <v>517</v>
      </c>
      <c r="B154" s="25">
        <f t="shared" ref="B154:E154" si="38">(B152)+(B153)</f>
        <v>0</v>
      </c>
      <c r="C154" s="25">
        <f t="shared" si="38"/>
        <v>0</v>
      </c>
      <c r="D154" s="25">
        <f t="shared" si="38"/>
        <v>0</v>
      </c>
      <c r="E154" s="25">
        <f t="shared" si="38"/>
        <v>100</v>
      </c>
      <c r="F154" s="25">
        <f t="shared" si="14"/>
        <v>100</v>
      </c>
    </row>
    <row r="155" ht="15.75" customHeight="1">
      <c r="A155" s="58" t="s">
        <v>291</v>
      </c>
      <c r="B155" s="57"/>
      <c r="C155" s="57"/>
      <c r="D155" s="57"/>
      <c r="E155" s="59">
        <f>109.02</f>
        <v>109.02</v>
      </c>
      <c r="F155" s="59">
        <f t="shared" si="14"/>
        <v>109.02</v>
      </c>
    </row>
    <row r="156" ht="15.75" customHeight="1">
      <c r="A156" s="58" t="s">
        <v>518</v>
      </c>
      <c r="B156" s="57"/>
      <c r="C156" s="57"/>
      <c r="D156" s="57"/>
      <c r="E156" s="59">
        <f>100</f>
        <v>100</v>
      </c>
      <c r="F156" s="59">
        <f t="shared" si="14"/>
        <v>100</v>
      </c>
    </row>
    <row r="157" ht="15.75" customHeight="1">
      <c r="A157" s="58" t="s">
        <v>519</v>
      </c>
      <c r="B157" s="57"/>
      <c r="C157" s="57"/>
      <c r="D157" s="57"/>
      <c r="E157" s="59">
        <f>990</f>
        <v>990</v>
      </c>
      <c r="F157" s="59">
        <f t="shared" si="14"/>
        <v>990</v>
      </c>
    </row>
    <row r="158" ht="15.75" customHeight="1">
      <c r="A158" s="58" t="s">
        <v>294</v>
      </c>
      <c r="B158" s="57"/>
      <c r="C158" s="57"/>
      <c r="D158" s="57"/>
      <c r="E158" s="59">
        <f>700</f>
        <v>700</v>
      </c>
      <c r="F158" s="59">
        <f t="shared" si="14"/>
        <v>700</v>
      </c>
    </row>
    <row r="159" ht="15.75" customHeight="1">
      <c r="A159" s="58" t="s">
        <v>297</v>
      </c>
      <c r="B159" s="25">
        <f t="shared" ref="B159:E159" si="39">((((((((B148)+(B149))+(B150))+(B151))+(B154))+(B155))+(B156))+(B157))+(B158)</f>
        <v>0</v>
      </c>
      <c r="C159" s="25">
        <f t="shared" si="39"/>
        <v>0</v>
      </c>
      <c r="D159" s="25">
        <f t="shared" si="39"/>
        <v>0</v>
      </c>
      <c r="E159" s="25">
        <f t="shared" si="39"/>
        <v>4201.8</v>
      </c>
      <c r="F159" s="25">
        <f t="shared" si="14"/>
        <v>4201.8</v>
      </c>
    </row>
    <row r="160" ht="15.75" customHeight="1">
      <c r="A160" s="58" t="s">
        <v>298</v>
      </c>
      <c r="B160" s="57"/>
      <c r="C160" s="57"/>
      <c r="D160" s="57"/>
      <c r="E160" s="57"/>
      <c r="F160" s="59">
        <f t="shared" si="14"/>
        <v>0</v>
      </c>
    </row>
    <row r="161" ht="15.75" customHeight="1">
      <c r="A161" s="58" t="s">
        <v>299</v>
      </c>
      <c r="B161" s="57"/>
      <c r="C161" s="57"/>
      <c r="D161" s="57"/>
      <c r="E161" s="59">
        <f>1141.19</f>
        <v>1141.19</v>
      </c>
      <c r="F161" s="59">
        <f t="shared" si="14"/>
        <v>1141.19</v>
      </c>
    </row>
    <row r="162" ht="15.75" customHeight="1">
      <c r="A162" s="58" t="s">
        <v>300</v>
      </c>
      <c r="B162" s="57"/>
      <c r="C162" s="57"/>
      <c r="D162" s="57"/>
      <c r="E162" s="59">
        <f>14418.98</f>
        <v>14418.98</v>
      </c>
      <c r="F162" s="59">
        <f t="shared" si="14"/>
        <v>14418.98</v>
      </c>
    </row>
    <row r="163" ht="15.75" customHeight="1">
      <c r="A163" s="58" t="s">
        <v>302</v>
      </c>
      <c r="B163" s="57"/>
      <c r="C163" s="57"/>
      <c r="D163" s="57"/>
      <c r="E163" s="59">
        <f>7850</f>
        <v>7850</v>
      </c>
      <c r="F163" s="59">
        <f t="shared" si="14"/>
        <v>7850</v>
      </c>
    </row>
    <row r="164" ht="15.75" customHeight="1">
      <c r="A164" s="58" t="s">
        <v>303</v>
      </c>
      <c r="B164" s="57"/>
      <c r="C164" s="57"/>
      <c r="D164" s="57"/>
      <c r="E164" s="59">
        <f>14818.98</f>
        <v>14818.98</v>
      </c>
      <c r="F164" s="59">
        <f t="shared" si="14"/>
        <v>14818.98</v>
      </c>
    </row>
    <row r="165" ht="15.75" customHeight="1">
      <c r="A165" s="58" t="s">
        <v>307</v>
      </c>
      <c r="B165" s="57"/>
      <c r="C165" s="57"/>
      <c r="D165" s="57"/>
      <c r="E165" s="57"/>
      <c r="F165" s="59">
        <f t="shared" si="14"/>
        <v>0</v>
      </c>
    </row>
    <row r="166" ht="15.75" customHeight="1">
      <c r="A166" s="58" t="s">
        <v>308</v>
      </c>
      <c r="B166" s="57"/>
      <c r="C166" s="57"/>
      <c r="D166" s="57"/>
      <c r="E166" s="59">
        <f>667.27</f>
        <v>667.27</v>
      </c>
      <c r="F166" s="59">
        <f t="shared" si="14"/>
        <v>667.27</v>
      </c>
    </row>
    <row r="167" ht="15.75" customHeight="1">
      <c r="A167" s="58" t="s">
        <v>310</v>
      </c>
      <c r="B167" s="57"/>
      <c r="C167" s="57"/>
      <c r="D167" s="57"/>
      <c r="E167" s="59">
        <f>1010</f>
        <v>1010</v>
      </c>
      <c r="F167" s="59">
        <f t="shared" si="14"/>
        <v>1010</v>
      </c>
    </row>
    <row r="168" ht="15.75" customHeight="1">
      <c r="A168" s="58" t="s">
        <v>311</v>
      </c>
      <c r="B168" s="25">
        <f t="shared" ref="B168:E168" si="40">((B165)+(B166))+(B167)</f>
        <v>0</v>
      </c>
      <c r="C168" s="25">
        <f t="shared" si="40"/>
        <v>0</v>
      </c>
      <c r="D168" s="25">
        <f t="shared" si="40"/>
        <v>0</v>
      </c>
      <c r="E168" s="25">
        <f t="shared" si="40"/>
        <v>1677.27</v>
      </c>
      <c r="F168" s="25">
        <f t="shared" si="14"/>
        <v>1677.27</v>
      </c>
    </row>
    <row r="169" ht="15.75" customHeight="1">
      <c r="A169" s="58" t="s">
        <v>315</v>
      </c>
      <c r="B169" s="25">
        <f t="shared" ref="B169:E169" si="41">(((((B160)+(B161))+(B162))+(B163))+(B164))+(B168)</f>
        <v>0</v>
      </c>
      <c r="C169" s="25">
        <f t="shared" si="41"/>
        <v>0</v>
      </c>
      <c r="D169" s="25">
        <f t="shared" si="41"/>
        <v>0</v>
      </c>
      <c r="E169" s="25">
        <f t="shared" si="41"/>
        <v>39906.42</v>
      </c>
      <c r="F169" s="25">
        <f t="shared" si="14"/>
        <v>39906.42</v>
      </c>
    </row>
    <row r="170" ht="15.75" customHeight="1">
      <c r="A170" s="58" t="s">
        <v>316</v>
      </c>
      <c r="B170" s="25">
        <f t="shared" ref="B170:E170" si="42">((B147)+(B159))+(B169)</f>
        <v>0</v>
      </c>
      <c r="C170" s="25">
        <f t="shared" si="42"/>
        <v>0</v>
      </c>
      <c r="D170" s="25">
        <f t="shared" si="42"/>
        <v>0</v>
      </c>
      <c r="E170" s="25">
        <f t="shared" si="42"/>
        <v>44108.22</v>
      </c>
      <c r="F170" s="25">
        <f t="shared" si="14"/>
        <v>44108.22</v>
      </c>
    </row>
    <row r="171" ht="15.75" customHeight="1">
      <c r="A171" s="58" t="s">
        <v>317</v>
      </c>
      <c r="B171" s="25">
        <f t="shared" ref="B171:E171" si="43">(((B114)+(B143))+(B146))+(B170)</f>
        <v>0</v>
      </c>
      <c r="C171" s="25">
        <f t="shared" si="43"/>
        <v>0</v>
      </c>
      <c r="D171" s="25">
        <f t="shared" si="43"/>
        <v>30000</v>
      </c>
      <c r="E171" s="25">
        <f t="shared" si="43"/>
        <v>89637.09</v>
      </c>
      <c r="F171" s="25">
        <f t="shared" si="14"/>
        <v>119637.09</v>
      </c>
    </row>
    <row r="172" ht="15.75" customHeight="1">
      <c r="A172" s="58" t="s">
        <v>318</v>
      </c>
      <c r="B172" s="25">
        <f t="shared" ref="B172:E172" si="44">(B113)+(B171)</f>
        <v>61753.95</v>
      </c>
      <c r="C172" s="25">
        <f t="shared" si="44"/>
        <v>0</v>
      </c>
      <c r="D172" s="25">
        <f t="shared" si="44"/>
        <v>30000</v>
      </c>
      <c r="E172" s="25">
        <f t="shared" si="44"/>
        <v>89637.09</v>
      </c>
      <c r="F172" s="25">
        <f t="shared" si="14"/>
        <v>181391.04</v>
      </c>
    </row>
    <row r="173" ht="15.75" customHeight="1">
      <c r="A173" s="58" t="s">
        <v>319</v>
      </c>
      <c r="B173" s="25">
        <f t="shared" ref="B173:E173" si="45">(B47)-(B172)</f>
        <v>68405.12</v>
      </c>
      <c r="C173" s="25">
        <f t="shared" si="45"/>
        <v>0</v>
      </c>
      <c r="D173" s="25">
        <f t="shared" si="45"/>
        <v>13787.34</v>
      </c>
      <c r="E173" s="25">
        <f t="shared" si="45"/>
        <v>-34712.5</v>
      </c>
      <c r="F173" s="25">
        <f t="shared" si="14"/>
        <v>47479.96</v>
      </c>
    </row>
    <row r="174" ht="15.75" customHeight="1">
      <c r="A174" s="58" t="s">
        <v>520</v>
      </c>
      <c r="B174" s="57"/>
      <c r="C174" s="57"/>
      <c r="D174" s="57"/>
      <c r="E174" s="57"/>
      <c r="F174" s="57"/>
    </row>
    <row r="175" ht="15.75" customHeight="1">
      <c r="A175" s="58" t="s">
        <v>521</v>
      </c>
      <c r="B175" s="57"/>
      <c r="C175" s="57"/>
      <c r="D175" s="57"/>
      <c r="E175" s="57"/>
      <c r="F175" s="59">
        <f t="shared" ref="F175:F192" si="46">(((B175)+(C175))+(D175))+(E175)</f>
        <v>0</v>
      </c>
    </row>
    <row r="176" ht="15.75" customHeight="1">
      <c r="A176" s="58" t="s">
        <v>522</v>
      </c>
      <c r="B176" s="57"/>
      <c r="C176" s="59">
        <f>221</f>
        <v>221</v>
      </c>
      <c r="D176" s="57"/>
      <c r="E176" s="57"/>
      <c r="F176" s="59">
        <f t="shared" si="46"/>
        <v>221</v>
      </c>
    </row>
    <row r="177" ht="15.75" customHeight="1">
      <c r="A177" s="58" t="s">
        <v>523</v>
      </c>
      <c r="B177" s="57"/>
      <c r="C177" s="57"/>
      <c r="D177" s="57"/>
      <c r="E177" s="57"/>
      <c r="F177" s="59">
        <f t="shared" si="46"/>
        <v>0</v>
      </c>
    </row>
    <row r="178" ht="15.75" customHeight="1">
      <c r="A178" s="58" t="s">
        <v>524</v>
      </c>
      <c r="B178" s="57"/>
      <c r="C178" s="59">
        <f>102.01</f>
        <v>102.01</v>
      </c>
      <c r="D178" s="57"/>
      <c r="E178" s="57"/>
      <c r="F178" s="59">
        <f t="shared" si="46"/>
        <v>102.01</v>
      </c>
    </row>
    <row r="179" ht="15.75" customHeight="1">
      <c r="A179" s="58" t="s">
        <v>525</v>
      </c>
      <c r="B179" s="25">
        <f t="shared" ref="B179:E179" si="47">(B177)+(B178)</f>
        <v>0</v>
      </c>
      <c r="C179" s="25">
        <f t="shared" si="47"/>
        <v>102.01</v>
      </c>
      <c r="D179" s="25">
        <f t="shared" si="47"/>
        <v>0</v>
      </c>
      <c r="E179" s="25">
        <f t="shared" si="47"/>
        <v>0</v>
      </c>
      <c r="F179" s="25">
        <f t="shared" si="46"/>
        <v>102.01</v>
      </c>
    </row>
    <row r="180" ht="15.75" customHeight="1">
      <c r="A180" s="58" t="s">
        <v>526</v>
      </c>
      <c r="B180" s="57"/>
      <c r="C180" s="59">
        <f>3801.52</f>
        <v>3801.52</v>
      </c>
      <c r="D180" s="57"/>
      <c r="E180" s="57"/>
      <c r="F180" s="59">
        <f t="shared" si="46"/>
        <v>3801.52</v>
      </c>
    </row>
    <row r="181" ht="15.75" customHeight="1">
      <c r="A181" s="58" t="s">
        <v>527</v>
      </c>
      <c r="B181" s="57"/>
      <c r="C181" s="59">
        <f>35</f>
        <v>35</v>
      </c>
      <c r="D181" s="57"/>
      <c r="E181" s="57"/>
      <c r="F181" s="59">
        <f t="shared" si="46"/>
        <v>35</v>
      </c>
    </row>
    <row r="182" ht="15.75" customHeight="1">
      <c r="A182" s="58" t="s">
        <v>528</v>
      </c>
      <c r="B182" s="57"/>
      <c r="C182" s="59">
        <f>119</f>
        <v>119</v>
      </c>
      <c r="D182" s="57"/>
      <c r="E182" s="57"/>
      <c r="F182" s="59">
        <f t="shared" si="46"/>
        <v>119</v>
      </c>
    </row>
    <row r="183" ht="15.75" customHeight="1">
      <c r="A183" s="58" t="s">
        <v>529</v>
      </c>
      <c r="B183" s="57"/>
      <c r="C183" s="57"/>
      <c r="D183" s="57"/>
      <c r="E183" s="57"/>
      <c r="F183" s="59">
        <f t="shared" si="46"/>
        <v>0</v>
      </c>
    </row>
    <row r="184" ht="15.75" customHeight="1">
      <c r="A184" s="58" t="s">
        <v>530</v>
      </c>
      <c r="B184" s="57"/>
      <c r="C184" s="59">
        <f>50000</f>
        <v>50000</v>
      </c>
      <c r="D184" s="57"/>
      <c r="E184" s="57"/>
      <c r="F184" s="59">
        <f t="shared" si="46"/>
        <v>50000</v>
      </c>
    </row>
    <row r="185" ht="15.75" customHeight="1">
      <c r="A185" s="58" t="s">
        <v>531</v>
      </c>
      <c r="B185" s="25">
        <f t="shared" ref="B185:E185" si="48">(B183)+(B184)</f>
        <v>0</v>
      </c>
      <c r="C185" s="25">
        <f t="shared" si="48"/>
        <v>50000</v>
      </c>
      <c r="D185" s="25">
        <f t="shared" si="48"/>
        <v>0</v>
      </c>
      <c r="E185" s="25">
        <f t="shared" si="48"/>
        <v>0</v>
      </c>
      <c r="F185" s="25">
        <f t="shared" si="46"/>
        <v>50000</v>
      </c>
    </row>
    <row r="186" ht="15.75" customHeight="1">
      <c r="A186" s="58" t="s">
        <v>532</v>
      </c>
      <c r="B186" s="25">
        <f t="shared" ref="B186:E186" si="49">((((((B175)+(B176))+(B179))+(B180))+(B181))+(B182))+(B185)</f>
        <v>0</v>
      </c>
      <c r="C186" s="25">
        <f t="shared" si="49"/>
        <v>54278.53</v>
      </c>
      <c r="D186" s="25">
        <f t="shared" si="49"/>
        <v>0</v>
      </c>
      <c r="E186" s="25">
        <f t="shared" si="49"/>
        <v>0</v>
      </c>
      <c r="F186" s="25">
        <f t="shared" si="46"/>
        <v>54278.53</v>
      </c>
    </row>
    <row r="187" ht="15.75" customHeight="1">
      <c r="A187" s="58" t="s">
        <v>533</v>
      </c>
      <c r="B187" s="57"/>
      <c r="C187" s="57"/>
      <c r="D187" s="57"/>
      <c r="E187" s="57"/>
      <c r="F187" s="59">
        <f t="shared" si="46"/>
        <v>0</v>
      </c>
    </row>
    <row r="188" ht="15.75" customHeight="1">
      <c r="A188" s="58" t="s">
        <v>534</v>
      </c>
      <c r="B188" s="59">
        <f>0.04</f>
        <v>0.04</v>
      </c>
      <c r="C188" s="57"/>
      <c r="D188" s="57"/>
      <c r="E188" s="57"/>
      <c r="F188" s="59">
        <f t="shared" si="46"/>
        <v>0.04</v>
      </c>
    </row>
    <row r="189" ht="15.75" customHeight="1">
      <c r="A189" s="58" t="s">
        <v>535</v>
      </c>
      <c r="B189" s="59">
        <f>4225.87</f>
        <v>4225.87</v>
      </c>
      <c r="C189" s="57"/>
      <c r="D189" s="57"/>
      <c r="E189" s="59">
        <f>2236.25</f>
        <v>2236.25</v>
      </c>
      <c r="F189" s="59">
        <f t="shared" si="46"/>
        <v>6462.12</v>
      </c>
    </row>
    <row r="190" ht="15.75" customHeight="1">
      <c r="A190" s="58" t="s">
        <v>536</v>
      </c>
      <c r="B190" s="59">
        <f>0</f>
        <v>0</v>
      </c>
      <c r="C190" s="57"/>
      <c r="D190" s="57"/>
      <c r="E190" s="59">
        <f>0</f>
        <v>0</v>
      </c>
      <c r="F190" s="59">
        <f t="shared" si="46"/>
        <v>0</v>
      </c>
    </row>
    <row r="191" ht="15.75" customHeight="1">
      <c r="A191" s="58" t="s">
        <v>537</v>
      </c>
      <c r="B191" s="25">
        <f t="shared" ref="B191:E191" si="50">(((B187)+(B188))+(B189))+(B190)</f>
        <v>4225.91</v>
      </c>
      <c r="C191" s="25">
        <f t="shared" si="50"/>
        <v>0</v>
      </c>
      <c r="D191" s="25">
        <f t="shared" si="50"/>
        <v>0</v>
      </c>
      <c r="E191" s="25">
        <f t="shared" si="50"/>
        <v>2236.25</v>
      </c>
      <c r="F191" s="25">
        <f t="shared" si="46"/>
        <v>6462.16</v>
      </c>
    </row>
    <row r="192" ht="15.75" customHeight="1">
      <c r="A192" s="58" t="s">
        <v>538</v>
      </c>
      <c r="B192" s="25">
        <f t="shared" ref="B192:E192" si="51">(B186)+(B191)</f>
        <v>4225.91</v>
      </c>
      <c r="C192" s="25">
        <f t="shared" si="51"/>
        <v>54278.53</v>
      </c>
      <c r="D192" s="25">
        <f t="shared" si="51"/>
        <v>0</v>
      </c>
      <c r="E192" s="25">
        <f t="shared" si="51"/>
        <v>2236.25</v>
      </c>
      <c r="F192" s="25">
        <f t="shared" si="46"/>
        <v>60740.69</v>
      </c>
    </row>
    <row r="193" ht="15.75" customHeight="1">
      <c r="A193" s="58" t="s">
        <v>539</v>
      </c>
      <c r="B193" s="57"/>
      <c r="C193" s="57"/>
      <c r="D193" s="57"/>
      <c r="E193" s="57"/>
      <c r="F193" s="57"/>
    </row>
    <row r="194" ht="15.75" customHeight="1">
      <c r="A194" s="58" t="s">
        <v>540</v>
      </c>
      <c r="B194" s="57"/>
      <c r="C194" s="57"/>
      <c r="D194" s="57"/>
      <c r="E194" s="57"/>
      <c r="F194" s="59">
        <f t="shared" ref="F194:F206" si="52">(((B194)+(C194))+(D194))+(E194)</f>
        <v>0</v>
      </c>
    </row>
    <row r="195" ht="15.75" customHeight="1">
      <c r="A195" s="58" t="s">
        <v>541</v>
      </c>
      <c r="B195" s="57"/>
      <c r="C195" s="57"/>
      <c r="D195" s="57"/>
      <c r="E195" s="57"/>
      <c r="F195" s="59">
        <f t="shared" si="52"/>
        <v>0</v>
      </c>
    </row>
    <row r="196" ht="15.75" customHeight="1">
      <c r="A196" s="58" t="s">
        <v>542</v>
      </c>
      <c r="B196" s="57"/>
      <c r="C196" s="59">
        <f>8006.77</f>
        <v>8006.77</v>
      </c>
      <c r="D196" s="57"/>
      <c r="E196" s="57"/>
      <c r="F196" s="59">
        <f t="shared" si="52"/>
        <v>8006.77</v>
      </c>
    </row>
    <row r="197" ht="15.75" customHeight="1">
      <c r="A197" s="58" t="s">
        <v>543</v>
      </c>
      <c r="B197" s="57"/>
      <c r="C197" s="59">
        <f>11874.7</f>
        <v>11874.7</v>
      </c>
      <c r="D197" s="57"/>
      <c r="E197" s="57"/>
      <c r="F197" s="59">
        <f t="shared" si="52"/>
        <v>11874.7</v>
      </c>
    </row>
    <row r="198" ht="15.75" customHeight="1">
      <c r="A198" s="58" t="s">
        <v>544</v>
      </c>
      <c r="B198" s="57"/>
      <c r="C198" s="59">
        <f>776.6</f>
        <v>776.6</v>
      </c>
      <c r="D198" s="57"/>
      <c r="E198" s="57"/>
      <c r="F198" s="59">
        <f t="shared" si="52"/>
        <v>776.6</v>
      </c>
    </row>
    <row r="199" ht="15.75" customHeight="1">
      <c r="A199" s="58" t="s">
        <v>545</v>
      </c>
      <c r="B199" s="25">
        <f t="shared" ref="B199:E199" si="53">(((B195)+(B196))+(B197))+(B198)</f>
        <v>0</v>
      </c>
      <c r="C199" s="25">
        <f t="shared" si="53"/>
        <v>20658.07</v>
      </c>
      <c r="D199" s="25">
        <f t="shared" si="53"/>
        <v>0</v>
      </c>
      <c r="E199" s="25">
        <f t="shared" si="53"/>
        <v>0</v>
      </c>
      <c r="F199" s="25">
        <f t="shared" si="52"/>
        <v>20658.07</v>
      </c>
    </row>
    <row r="200" ht="15.75" customHeight="1">
      <c r="A200" s="58" t="s">
        <v>546</v>
      </c>
      <c r="B200" s="57"/>
      <c r="C200" s="57"/>
      <c r="D200" s="57"/>
      <c r="E200" s="57"/>
      <c r="F200" s="59">
        <f t="shared" si="52"/>
        <v>0</v>
      </c>
    </row>
    <row r="201" ht="15.75" customHeight="1">
      <c r="A201" s="58" t="s">
        <v>547</v>
      </c>
      <c r="B201" s="57"/>
      <c r="C201" s="59">
        <f>250</f>
        <v>250</v>
      </c>
      <c r="D201" s="57"/>
      <c r="E201" s="57"/>
      <c r="F201" s="59">
        <f t="shared" si="52"/>
        <v>250</v>
      </c>
    </row>
    <row r="202" ht="15.75" customHeight="1">
      <c r="A202" s="58" t="s">
        <v>548</v>
      </c>
      <c r="B202" s="25">
        <f t="shared" ref="B202:E202" si="54">(B200)+(B201)</f>
        <v>0</v>
      </c>
      <c r="C202" s="25">
        <f t="shared" si="54"/>
        <v>250</v>
      </c>
      <c r="D202" s="25">
        <f t="shared" si="54"/>
        <v>0</v>
      </c>
      <c r="E202" s="25">
        <f t="shared" si="54"/>
        <v>0</v>
      </c>
      <c r="F202" s="25">
        <f t="shared" si="52"/>
        <v>250</v>
      </c>
    </row>
    <row r="203" ht="15.75" customHeight="1">
      <c r="A203" s="58" t="s">
        <v>549</v>
      </c>
      <c r="B203" s="25">
        <f t="shared" ref="B203:E203" si="55">((B194)+(B199))+(B202)</f>
        <v>0</v>
      </c>
      <c r="C203" s="25">
        <f t="shared" si="55"/>
        <v>20908.07</v>
      </c>
      <c r="D203" s="25">
        <f t="shared" si="55"/>
        <v>0</v>
      </c>
      <c r="E203" s="25">
        <f t="shared" si="55"/>
        <v>0</v>
      </c>
      <c r="F203" s="25">
        <f t="shared" si="52"/>
        <v>20908.07</v>
      </c>
    </row>
    <row r="204" ht="15.75" customHeight="1">
      <c r="A204" s="58" t="s">
        <v>550</v>
      </c>
      <c r="B204" s="25">
        <f t="shared" ref="B204:E204" si="56">B203</f>
        <v>0</v>
      </c>
      <c r="C204" s="25">
        <f t="shared" si="56"/>
        <v>20908.07</v>
      </c>
      <c r="D204" s="25">
        <f t="shared" si="56"/>
        <v>0</v>
      </c>
      <c r="E204" s="25">
        <f t="shared" si="56"/>
        <v>0</v>
      </c>
      <c r="F204" s="25">
        <f t="shared" si="52"/>
        <v>20908.07</v>
      </c>
    </row>
    <row r="205" ht="15.75" customHeight="1">
      <c r="A205" s="58" t="s">
        <v>551</v>
      </c>
      <c r="B205" s="25">
        <f t="shared" ref="B205:E205" si="57">(B192)-(B204)</f>
        <v>4225.91</v>
      </c>
      <c r="C205" s="25">
        <f t="shared" si="57"/>
        <v>33370.46</v>
      </c>
      <c r="D205" s="25">
        <f t="shared" si="57"/>
        <v>0</v>
      </c>
      <c r="E205" s="25">
        <f t="shared" si="57"/>
        <v>2236.25</v>
      </c>
      <c r="F205" s="25">
        <f t="shared" si="52"/>
        <v>39832.62</v>
      </c>
    </row>
    <row r="206" ht="15.75" customHeight="1">
      <c r="A206" s="58" t="s">
        <v>320</v>
      </c>
      <c r="B206" s="25">
        <f t="shared" ref="B206:E206" si="58">(B173)+(B205)</f>
        <v>72631.03</v>
      </c>
      <c r="C206" s="25">
        <f t="shared" si="58"/>
        <v>33370.46</v>
      </c>
      <c r="D206" s="25">
        <f t="shared" si="58"/>
        <v>13787.34</v>
      </c>
      <c r="E206" s="25">
        <f t="shared" si="58"/>
        <v>-32476.25</v>
      </c>
      <c r="F206" s="25">
        <f t="shared" si="52"/>
        <v>87312.58</v>
      </c>
    </row>
    <row r="207" ht="15.75" customHeight="1">
      <c r="A207" s="56"/>
      <c r="B207" s="57"/>
      <c r="C207" s="57"/>
      <c r="D207" s="57"/>
      <c r="E207" s="57"/>
      <c r="F207" s="57"/>
    </row>
    <row r="208" ht="15.75" customHeight="1"/>
    <row r="209" ht="15.75" customHeight="1"/>
    <row r="210" ht="15.75" customHeight="1">
      <c r="A210" s="60" t="s">
        <v>552</v>
      </c>
    </row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2:F2"/>
    <mergeCell ref="A3:F3"/>
    <mergeCell ref="A210:F2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2023-05-08T11:22:22Z</dcterms:created>
  <dc:creator>Owner</dc:creator>
</cp:coreProperties>
</file>