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avidashby/Library/CloudStorage/OneDrive-Personal/Church cloud/presbytery stuff/Presbytery Council/"/>
    </mc:Choice>
  </mc:AlternateContent>
  <xr:revisionPtr revIDLastSave="0" documentId="8_{8C19B058-B913-7447-9D80-7609CFE047BF}" xr6:coauthVersionLast="47" xr6:coauthVersionMax="47" xr10:uidLastSave="{00000000-0000-0000-0000-000000000000}"/>
  <bookViews>
    <workbookView xWindow="0" yWindow="760" windowWidth="34560" windowHeight="20400" tabRatio="857" activeTab="5" xr2:uid="{00000000-000D-0000-FFFF-FFFF00000000}"/>
  </bookViews>
  <sheets>
    <sheet name="Balance Sheet" sheetId="67" r:id="rId1"/>
    <sheet name="Summary Update updated" sheetId="46" r:id="rId2"/>
    <sheet name="PL Budget Mission &amp; Operations" sheetId="36" r:id="rId3"/>
    <sheet name="Camp YTD Budget" sheetId="35" r:id="rId4"/>
    <sheet name="Class Report" sheetId="71" r:id="rId5"/>
    <sheet name="AR 2024" sheetId="37" r:id="rId6"/>
  </sheets>
  <definedNames>
    <definedName name="_xlnm.Print_Area" localSheetId="5">'AR 2024'!$B$1:$G$66</definedName>
    <definedName name="_xlnm.Print_Area" localSheetId="1">'Summary Update updated'!$A$1:$F$68</definedName>
    <definedName name="_xlnm.Print_Titles" localSheetId="5">'AR 2024'!$1:$5</definedName>
    <definedName name="_xlnm.Print_Titles" localSheetId="3">'Camp YTD Budget'!$1:$7</definedName>
    <definedName name="_xlnm.Print_Titles" localSheetId="2">'PL Budget Mission &amp; Operations'!$1:$5</definedName>
    <definedName name="_xlnm.Print_Titles" localSheetId="1">'Summary Update updated'!$1:$3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7" i="67" l="1"/>
  <c r="D146" i="67"/>
  <c r="B146" i="67"/>
  <c r="B144" i="67"/>
  <c r="D143" i="67"/>
  <c r="B143" i="67"/>
  <c r="B142" i="67"/>
  <c r="D141" i="67"/>
  <c r="B141" i="67"/>
  <c r="B139" i="67"/>
  <c r="D137" i="67"/>
  <c r="B137" i="67"/>
  <c r="B136" i="67"/>
  <c r="D135" i="67"/>
  <c r="B135" i="67"/>
  <c r="B129" i="67"/>
  <c r="B128" i="67"/>
  <c r="B127" i="67"/>
  <c r="B126" i="67"/>
  <c r="D125" i="67"/>
  <c r="B125" i="67"/>
  <c r="D124" i="67"/>
  <c r="B124" i="67"/>
  <c r="D123" i="67"/>
  <c r="B123" i="67"/>
  <c r="D122" i="67"/>
  <c r="B122" i="67"/>
  <c r="D121" i="67"/>
  <c r="B121" i="67"/>
  <c r="B120" i="67"/>
  <c r="B119" i="67"/>
  <c r="B117" i="67"/>
  <c r="D116" i="67"/>
  <c r="B116" i="67"/>
  <c r="D115" i="67"/>
  <c r="B115" i="67"/>
  <c r="D114" i="67"/>
  <c r="B114" i="67"/>
  <c r="D113" i="67"/>
  <c r="B113" i="67"/>
  <c r="B112" i="67"/>
  <c r="D111" i="67"/>
  <c r="B111" i="67"/>
  <c r="D110" i="67"/>
  <c r="B110" i="67"/>
  <c r="D109" i="67"/>
  <c r="B109" i="67"/>
  <c r="D108" i="67"/>
  <c r="B108" i="67"/>
  <c r="D107" i="67"/>
  <c r="B107" i="67"/>
  <c r="D106" i="67"/>
  <c r="B106" i="67"/>
  <c r="B102" i="67"/>
  <c r="B101" i="67"/>
  <c r="B100" i="67"/>
  <c r="D99" i="67"/>
  <c r="B99" i="67"/>
  <c r="B98" i="67"/>
  <c r="D103" i="67"/>
  <c r="D104" i="67" s="1"/>
  <c r="B97" i="67"/>
  <c r="D94" i="67"/>
  <c r="B93" i="67"/>
  <c r="B94" i="67" s="1"/>
  <c r="D86" i="67"/>
  <c r="B86" i="67"/>
  <c r="B84" i="67"/>
  <c r="B83" i="67"/>
  <c r="D82" i="67"/>
  <c r="B82" i="67"/>
  <c r="D81" i="67"/>
  <c r="B81" i="67"/>
  <c r="D80" i="67"/>
  <c r="B80" i="67"/>
  <c r="D78" i="67"/>
  <c r="B78" i="67"/>
  <c r="D77" i="67"/>
  <c r="B77" i="67"/>
  <c r="D76" i="67"/>
  <c r="B76" i="67"/>
  <c r="D75" i="67"/>
  <c r="B75" i="67"/>
  <c r="D74" i="67"/>
  <c r="B74" i="67"/>
  <c r="B67" i="67"/>
  <c r="D68" i="67"/>
  <c r="B66" i="67"/>
  <c r="B68" i="67" s="1"/>
  <c r="D64" i="67"/>
  <c r="B64" i="67"/>
  <c r="B63" i="67"/>
  <c r="B62" i="67"/>
  <c r="D58" i="67"/>
  <c r="B58" i="67"/>
  <c r="B57" i="67"/>
  <c r="D56" i="67"/>
  <c r="B56" i="67"/>
  <c r="B55" i="67"/>
  <c r="B54" i="67"/>
  <c r="D53" i="67"/>
  <c r="B53" i="67"/>
  <c r="D52" i="67"/>
  <c r="B52" i="67"/>
  <c r="D49" i="67"/>
  <c r="B49" i="67"/>
  <c r="B48" i="67"/>
  <c r="D47" i="67"/>
  <c r="B47" i="67"/>
  <c r="D46" i="67"/>
  <c r="B46" i="67"/>
  <c r="D43" i="67"/>
  <c r="B43" i="67"/>
  <c r="D42" i="67"/>
  <c r="B42" i="67"/>
  <c r="D41" i="67"/>
  <c r="B41" i="67"/>
  <c r="D40" i="67"/>
  <c r="D44" i="67" s="1"/>
  <c r="B40" i="67"/>
  <c r="D34" i="67"/>
  <c r="B34" i="67"/>
  <c r="B32" i="67"/>
  <c r="D31" i="67"/>
  <c r="D35" i="67" s="1"/>
  <c r="B31" i="67"/>
  <c r="B30" i="67"/>
  <c r="B27" i="67"/>
  <c r="D28" i="67"/>
  <c r="B26" i="67"/>
  <c r="D23" i="67"/>
  <c r="B22" i="67"/>
  <c r="B23" i="67" s="1"/>
  <c r="D19" i="67"/>
  <c r="B19" i="67"/>
  <c r="D18" i="67"/>
  <c r="B18" i="67"/>
  <c r="D17" i="67"/>
  <c r="B17" i="67"/>
  <c r="B16" i="67"/>
  <c r="B15" i="67"/>
  <c r="D14" i="67"/>
  <c r="B14" i="67"/>
  <c r="B13" i="67"/>
  <c r="D12" i="67"/>
  <c r="B12" i="67"/>
  <c r="B11" i="67"/>
  <c r="D24" i="67" l="1"/>
  <c r="D69" i="67"/>
  <c r="B44" i="67"/>
  <c r="B28" i="67"/>
  <c r="B59" i="67"/>
  <c r="B60" i="67" s="1"/>
  <c r="B70" i="67" s="1"/>
  <c r="B71" i="67" s="1"/>
  <c r="B35" i="67"/>
  <c r="B145" i="67"/>
  <c r="B69" i="67"/>
  <c r="D145" i="67"/>
  <c r="D148" i="67" s="1"/>
  <c r="B24" i="67"/>
  <c r="B36" i="67" s="1"/>
  <c r="B130" i="67"/>
  <c r="B131" i="67" s="1"/>
  <c r="B103" i="67"/>
  <c r="B104" i="67" s="1"/>
  <c r="D130" i="67"/>
  <c r="D131" i="67" s="1"/>
  <c r="D132" i="67" s="1"/>
  <c r="D133" i="67" s="1"/>
  <c r="D50" i="67"/>
  <c r="B138" i="67"/>
  <c r="B79" i="67"/>
  <c r="B85" i="67" s="1"/>
  <c r="B87" i="67" s="1"/>
  <c r="D79" i="67"/>
  <c r="D85" i="67" s="1"/>
  <c r="D87" i="67" s="1"/>
  <c r="B50" i="67"/>
  <c r="D59" i="67"/>
  <c r="D60" i="67" s="1"/>
  <c r="D138" i="67"/>
  <c r="B148" i="67" l="1"/>
  <c r="D149" i="67"/>
  <c r="D70" i="67"/>
  <c r="D71" i="67" s="1"/>
  <c r="B132" i="67"/>
  <c r="B133" i="67" s="1"/>
  <c r="D36" i="67"/>
  <c r="B88" i="67"/>
  <c r="B149" i="67" l="1"/>
  <c r="D88" i="67"/>
  <c r="E158" i="71" l="1"/>
  <c r="D158" i="71"/>
  <c r="C158" i="71"/>
  <c r="E157" i="71"/>
  <c r="D157" i="71"/>
  <c r="C157" i="71"/>
  <c r="B157" i="71"/>
  <c r="B158" i="71" s="1"/>
  <c r="F158" i="71" s="1"/>
  <c r="F156" i="71"/>
  <c r="C156" i="71"/>
  <c r="F155" i="71"/>
  <c r="B153" i="71"/>
  <c r="B159" i="71" s="1"/>
  <c r="E152" i="71"/>
  <c r="E153" i="71" s="1"/>
  <c r="E159" i="71" s="1"/>
  <c r="D152" i="71"/>
  <c r="D153" i="71" s="1"/>
  <c r="D159" i="71" s="1"/>
  <c r="B152" i="71"/>
  <c r="C151" i="71"/>
  <c r="F151" i="71" s="1"/>
  <c r="C150" i="71"/>
  <c r="F150" i="71" s="1"/>
  <c r="F149" i="71"/>
  <c r="D143" i="71"/>
  <c r="D144" i="71" s="1"/>
  <c r="C143" i="71"/>
  <c r="C144" i="71" s="1"/>
  <c r="D142" i="71"/>
  <c r="C142" i="71"/>
  <c r="B142" i="71"/>
  <c r="B143" i="71" s="1"/>
  <c r="F141" i="71"/>
  <c r="E141" i="71"/>
  <c r="E140" i="71"/>
  <c r="E142" i="71" s="1"/>
  <c r="F139" i="71"/>
  <c r="E138" i="71"/>
  <c r="F138" i="71" s="1"/>
  <c r="E137" i="71"/>
  <c r="F137" i="71" s="1"/>
  <c r="F136" i="71"/>
  <c r="D135" i="71"/>
  <c r="C135" i="71"/>
  <c r="B135" i="71"/>
  <c r="B144" i="71" s="1"/>
  <c r="E134" i="71"/>
  <c r="F134" i="71" s="1"/>
  <c r="F133" i="71"/>
  <c r="E133" i="71"/>
  <c r="F132" i="71"/>
  <c r="E132" i="71"/>
  <c r="E131" i="71"/>
  <c r="F131" i="71" s="1"/>
  <c r="E130" i="71"/>
  <c r="F130" i="71" s="1"/>
  <c r="F129" i="71"/>
  <c r="E129" i="71"/>
  <c r="F128" i="71"/>
  <c r="E128" i="71"/>
  <c r="F127" i="71"/>
  <c r="F126" i="71"/>
  <c r="E125" i="71"/>
  <c r="E124" i="71"/>
  <c r="C124" i="71"/>
  <c r="C125" i="71" s="1"/>
  <c r="B124" i="71"/>
  <c r="B125" i="71" s="1"/>
  <c r="F123" i="71"/>
  <c r="D123" i="71"/>
  <c r="D124" i="71" s="1"/>
  <c r="D125" i="71" s="1"/>
  <c r="F122" i="71"/>
  <c r="F121" i="71"/>
  <c r="D121" i="71"/>
  <c r="F120" i="71"/>
  <c r="D118" i="71"/>
  <c r="C118" i="71"/>
  <c r="B118" i="71"/>
  <c r="F117" i="71"/>
  <c r="E117" i="71"/>
  <c r="F116" i="71"/>
  <c r="E116" i="71"/>
  <c r="E115" i="71"/>
  <c r="F115" i="71" s="1"/>
  <c r="F114" i="71"/>
  <c r="D113" i="71"/>
  <c r="C113" i="71"/>
  <c r="B113" i="71"/>
  <c r="E112" i="71"/>
  <c r="F112" i="71" s="1"/>
  <c r="E111" i="71"/>
  <c r="F111" i="71" s="1"/>
  <c r="F110" i="71"/>
  <c r="E110" i="71"/>
  <c r="E113" i="71" s="1"/>
  <c r="F113" i="71" s="1"/>
  <c r="F109" i="71"/>
  <c r="E109" i="71"/>
  <c r="F108" i="71"/>
  <c r="E107" i="71"/>
  <c r="D107" i="71"/>
  <c r="F107" i="71" s="1"/>
  <c r="C107" i="71"/>
  <c r="B107" i="71"/>
  <c r="F106" i="71"/>
  <c r="E106" i="71"/>
  <c r="E105" i="71"/>
  <c r="F105" i="71" s="1"/>
  <c r="F104" i="71"/>
  <c r="D102" i="71"/>
  <c r="D103" i="71" s="1"/>
  <c r="D119" i="71" s="1"/>
  <c r="D145" i="71" s="1"/>
  <c r="C102" i="71"/>
  <c r="C103" i="71" s="1"/>
  <c r="C119" i="71" s="1"/>
  <c r="B102" i="71"/>
  <c r="B103" i="71" s="1"/>
  <c r="E101" i="71"/>
  <c r="F101" i="71" s="1"/>
  <c r="F100" i="71"/>
  <c r="E100" i="71"/>
  <c r="E99" i="71"/>
  <c r="F99" i="71" s="1"/>
  <c r="E98" i="71"/>
  <c r="F98" i="71" s="1"/>
  <c r="E97" i="71"/>
  <c r="E102" i="71" s="1"/>
  <c r="E103" i="71" s="1"/>
  <c r="F96" i="71"/>
  <c r="E96" i="71"/>
  <c r="F95" i="71"/>
  <c r="F94" i="71"/>
  <c r="F93" i="71"/>
  <c r="F92" i="71"/>
  <c r="E89" i="71"/>
  <c r="D89" i="71"/>
  <c r="C89" i="71"/>
  <c r="B89" i="71"/>
  <c r="F89" i="71" s="1"/>
  <c r="F88" i="71"/>
  <c r="B88" i="71"/>
  <c r="F87" i="71"/>
  <c r="F86" i="71"/>
  <c r="B86" i="71"/>
  <c r="E85" i="71"/>
  <c r="D85" i="71"/>
  <c r="C85" i="71"/>
  <c r="F85" i="71" s="1"/>
  <c r="B85" i="71"/>
  <c r="F84" i="71"/>
  <c r="B84" i="71"/>
  <c r="F83" i="71"/>
  <c r="E82" i="71"/>
  <c r="E90" i="71" s="1"/>
  <c r="D82" i="71"/>
  <c r="D90" i="71" s="1"/>
  <c r="C82" i="71"/>
  <c r="C90" i="71" s="1"/>
  <c r="F81" i="71"/>
  <c r="B81" i="71"/>
  <c r="B80" i="71"/>
  <c r="B82" i="71" s="1"/>
  <c r="F79" i="71"/>
  <c r="F78" i="71"/>
  <c r="E77" i="71"/>
  <c r="D77" i="71"/>
  <c r="B76" i="71"/>
  <c r="F76" i="71" s="1"/>
  <c r="F75" i="71"/>
  <c r="B75" i="71"/>
  <c r="B74" i="71"/>
  <c r="F74" i="71" s="1"/>
  <c r="E73" i="71"/>
  <c r="D73" i="71"/>
  <c r="C73" i="71"/>
  <c r="B73" i="71"/>
  <c r="F73" i="71" s="1"/>
  <c r="F72" i="71"/>
  <c r="B72" i="71"/>
  <c r="F71" i="71"/>
  <c r="E70" i="71"/>
  <c r="D70" i="71"/>
  <c r="C70" i="71"/>
  <c r="C77" i="71" s="1"/>
  <c r="B70" i="71"/>
  <c r="F70" i="71" s="1"/>
  <c r="F69" i="71"/>
  <c r="B69" i="71"/>
  <c r="F68" i="71"/>
  <c r="B68" i="71"/>
  <c r="F67" i="71"/>
  <c r="B66" i="71"/>
  <c r="F66" i="71" s="1"/>
  <c r="B65" i="71"/>
  <c r="F65" i="71" s="1"/>
  <c r="B64" i="71"/>
  <c r="B77" i="71" s="1"/>
  <c r="F63" i="71"/>
  <c r="D62" i="71"/>
  <c r="C62" i="71"/>
  <c r="B61" i="71"/>
  <c r="F61" i="71" s="1"/>
  <c r="F60" i="71"/>
  <c r="B60" i="71"/>
  <c r="B59" i="71"/>
  <c r="F59" i="71" s="1"/>
  <c r="E58" i="71"/>
  <c r="E62" i="71" s="1"/>
  <c r="D58" i="71"/>
  <c r="C58" i="71"/>
  <c r="B57" i="71"/>
  <c r="B58" i="71" s="1"/>
  <c r="F58" i="71" s="1"/>
  <c r="F56" i="71"/>
  <c r="F55" i="71"/>
  <c r="B55" i="71"/>
  <c r="B54" i="71"/>
  <c r="F53" i="71"/>
  <c r="C52" i="71"/>
  <c r="E51" i="71"/>
  <c r="D51" i="71"/>
  <c r="C51" i="71"/>
  <c r="B50" i="71"/>
  <c r="B51" i="71" s="1"/>
  <c r="F51" i="71" s="1"/>
  <c r="F49" i="71"/>
  <c r="E48" i="71"/>
  <c r="E52" i="71" s="1"/>
  <c r="E91" i="71" s="1"/>
  <c r="D48" i="71"/>
  <c r="D52" i="71" s="1"/>
  <c r="D91" i="71" s="1"/>
  <c r="D146" i="71" s="1"/>
  <c r="C48" i="71"/>
  <c r="B47" i="71"/>
  <c r="F47" i="71" s="1"/>
  <c r="F46" i="71"/>
  <c r="B46" i="71"/>
  <c r="B48" i="71" s="1"/>
  <c r="F45" i="71"/>
  <c r="B44" i="71"/>
  <c r="F44" i="71" s="1"/>
  <c r="F43" i="71"/>
  <c r="F42" i="71"/>
  <c r="B37" i="71"/>
  <c r="F37" i="71" s="1"/>
  <c r="E35" i="71"/>
  <c r="E36" i="71" s="1"/>
  <c r="E38" i="71" s="1"/>
  <c r="D35" i="71"/>
  <c r="D36" i="71" s="1"/>
  <c r="C35" i="71"/>
  <c r="C36" i="71" s="1"/>
  <c r="F34" i="71"/>
  <c r="B34" i="71"/>
  <c r="B33" i="71"/>
  <c r="F33" i="71" s="1"/>
  <c r="B32" i="71"/>
  <c r="F32" i="71" s="1"/>
  <c r="F31" i="71"/>
  <c r="B31" i="71"/>
  <c r="F30" i="71"/>
  <c r="F29" i="71"/>
  <c r="E28" i="71"/>
  <c r="D28" i="71"/>
  <c r="D38" i="71" s="1"/>
  <c r="C28" i="71"/>
  <c r="B28" i="71"/>
  <c r="B27" i="71"/>
  <c r="F27" i="71" s="1"/>
  <c r="F26" i="71"/>
  <c r="F25" i="71"/>
  <c r="B23" i="71"/>
  <c r="D22" i="71"/>
  <c r="D23" i="71" s="1"/>
  <c r="C22" i="71"/>
  <c r="B22" i="71"/>
  <c r="E21" i="71"/>
  <c r="F21" i="71" s="1"/>
  <c r="E20" i="71"/>
  <c r="F20" i="71" s="1"/>
  <c r="F19" i="71"/>
  <c r="F18" i="71"/>
  <c r="B17" i="71"/>
  <c r="D16" i="71"/>
  <c r="D17" i="71" s="1"/>
  <c r="C16" i="71"/>
  <c r="B16" i="71"/>
  <c r="E15" i="71"/>
  <c r="F15" i="71" s="1"/>
  <c r="E14" i="71"/>
  <c r="F14" i="71" s="1"/>
  <c r="F13" i="71"/>
  <c r="E12" i="71"/>
  <c r="C12" i="71"/>
  <c r="B12" i="71"/>
  <c r="B24" i="71" s="1"/>
  <c r="D11" i="71"/>
  <c r="D12" i="71" s="1"/>
  <c r="F10" i="71"/>
  <c r="D10" i="71"/>
  <c r="F9" i="71"/>
  <c r="F8" i="71"/>
  <c r="B200" i="35"/>
  <c r="F48" i="71" l="1"/>
  <c r="B52" i="71"/>
  <c r="C24" i="71"/>
  <c r="F143" i="71"/>
  <c r="D24" i="71"/>
  <c r="D39" i="71" s="1"/>
  <c r="D40" i="71" s="1"/>
  <c r="D147" i="71" s="1"/>
  <c r="D160" i="71" s="1"/>
  <c r="B119" i="71"/>
  <c r="F103" i="71"/>
  <c r="C145" i="71"/>
  <c r="F82" i="71"/>
  <c r="B90" i="71"/>
  <c r="F90" i="71" s="1"/>
  <c r="C91" i="71"/>
  <c r="C146" i="71" s="1"/>
  <c r="F77" i="71"/>
  <c r="C38" i="71"/>
  <c r="B62" i="71"/>
  <c r="F62" i="71" s="1"/>
  <c r="F125" i="71"/>
  <c r="E135" i="71"/>
  <c r="E144" i="71" s="1"/>
  <c r="F144" i="71" s="1"/>
  <c r="F142" i="71"/>
  <c r="C152" i="71"/>
  <c r="F157" i="71"/>
  <c r="B35" i="71"/>
  <c r="F64" i="71"/>
  <c r="F97" i="71"/>
  <c r="E143" i="71"/>
  <c r="C17" i="71"/>
  <c r="C23" i="71"/>
  <c r="F11" i="71"/>
  <c r="F28" i="71"/>
  <c r="F80" i="71"/>
  <c r="E118" i="71"/>
  <c r="E119" i="71" s="1"/>
  <c r="E145" i="71" s="1"/>
  <c r="E146" i="71" s="1"/>
  <c r="F124" i="71"/>
  <c r="E22" i="71"/>
  <c r="E23" i="71" s="1"/>
  <c r="F23" i="71" s="1"/>
  <c r="F12" i="71"/>
  <c r="F54" i="71"/>
  <c r="F140" i="71"/>
  <c r="E16" i="71"/>
  <c r="E17" i="71" s="1"/>
  <c r="E24" i="71" s="1"/>
  <c r="E39" i="71" s="1"/>
  <c r="E40" i="71" s="1"/>
  <c r="F57" i="71"/>
  <c r="F102" i="71"/>
  <c r="F50" i="71"/>
  <c r="B36" i="71" l="1"/>
  <c r="F35" i="71"/>
  <c r="F16" i="71"/>
  <c r="E147" i="71"/>
  <c r="E160" i="71" s="1"/>
  <c r="F119" i="71"/>
  <c r="B145" i="71"/>
  <c r="F145" i="71" s="1"/>
  <c r="C39" i="71"/>
  <c r="C40" i="71" s="1"/>
  <c r="C147" i="71" s="1"/>
  <c r="F52" i="71"/>
  <c r="B91" i="71"/>
  <c r="F118" i="71"/>
  <c r="F17" i="71"/>
  <c r="F22" i="71"/>
  <c r="F152" i="71"/>
  <c r="C153" i="71"/>
  <c r="F135" i="71"/>
  <c r="F24" i="71"/>
  <c r="F91" i="71" l="1"/>
  <c r="B146" i="71"/>
  <c r="F146" i="71" s="1"/>
  <c r="F153" i="71"/>
  <c r="C159" i="71"/>
  <c r="F159" i="71" s="1"/>
  <c r="C160" i="71"/>
  <c r="F36" i="71"/>
  <c r="B38" i="71"/>
  <c r="F38" i="71" l="1"/>
  <c r="B39" i="71"/>
  <c r="B40" i="71" l="1"/>
  <c r="F39" i="71"/>
  <c r="F40" i="71" l="1"/>
  <c r="B147" i="71"/>
  <c r="B160" i="71" l="1"/>
  <c r="F160" i="71" s="1"/>
  <c r="F147" i="71"/>
  <c r="B69" i="35"/>
  <c r="Z59" i="37"/>
  <c r="Z58" i="37"/>
  <c r="Z57" i="37"/>
  <c r="Z56" i="37"/>
  <c r="Z54" i="37"/>
  <c r="Z53" i="37"/>
  <c r="Z50" i="37"/>
  <c r="Z49" i="37"/>
  <c r="Z46" i="37"/>
  <c r="Z45" i="37"/>
  <c r="Z43" i="37"/>
  <c r="Z41" i="37"/>
  <c r="Z40" i="37"/>
  <c r="Z37" i="37"/>
  <c r="Z36" i="37"/>
  <c r="Z34" i="37"/>
  <c r="Z33" i="37"/>
  <c r="Z32" i="37"/>
  <c r="Z31" i="37"/>
  <c r="Z30" i="37"/>
  <c r="Z29" i="37"/>
  <c r="Z28" i="37"/>
  <c r="Z23" i="37"/>
  <c r="Z22" i="37"/>
  <c r="Z21" i="37"/>
  <c r="Z19" i="37"/>
  <c r="Z18" i="37"/>
  <c r="Z17" i="37"/>
  <c r="Z16" i="37"/>
  <c r="Z15" i="37"/>
  <c r="Z13" i="37"/>
  <c r="Z12" i="37"/>
  <c r="Z11" i="37"/>
  <c r="Z10" i="37"/>
  <c r="Z9" i="37"/>
  <c r="Z8" i="37"/>
  <c r="C62" i="35"/>
  <c r="C74" i="36"/>
  <c r="B107" i="35"/>
  <c r="B35" i="46" l="1"/>
  <c r="B94" i="35" l="1"/>
  <c r="B62" i="35"/>
  <c r="B14" i="46" l="1"/>
  <c r="B15" i="46" s="1"/>
  <c r="B133" i="35" l="1"/>
  <c r="E45" i="46" l="1"/>
  <c r="B140" i="36"/>
  <c r="M45" i="37" l="1"/>
  <c r="N45" i="37"/>
  <c r="V66" i="37"/>
  <c r="U66" i="37"/>
  <c r="T66" i="37"/>
  <c r="S66" i="37"/>
  <c r="Q66" i="37"/>
  <c r="W66" i="37"/>
  <c r="J66" i="37"/>
  <c r="I66" i="37"/>
  <c r="E66" i="37"/>
  <c r="D66" i="37"/>
  <c r="C66" i="37"/>
  <c r="Z64" i="37"/>
  <c r="Z63" i="37"/>
  <c r="Z61" i="37"/>
  <c r="N56" i="37"/>
  <c r="M56" i="37"/>
  <c r="N55" i="37"/>
  <c r="M55" i="37"/>
  <c r="N54" i="37"/>
  <c r="M54" i="37"/>
  <c r="N53" i="37"/>
  <c r="M53" i="37"/>
  <c r="N52" i="37"/>
  <c r="M52" i="37"/>
  <c r="N51" i="37"/>
  <c r="M51" i="37"/>
  <c r="N50" i="37"/>
  <c r="M50" i="37"/>
  <c r="N49" i="37"/>
  <c r="M49" i="37"/>
  <c r="N48" i="37"/>
  <c r="M48" i="37"/>
  <c r="N47" i="37"/>
  <c r="M47" i="37"/>
  <c r="Z47" i="37" s="1"/>
  <c r="N46" i="37"/>
  <c r="M46" i="37"/>
  <c r="N44" i="37"/>
  <c r="M44" i="37"/>
  <c r="N43" i="37"/>
  <c r="M43" i="37"/>
  <c r="N42" i="37"/>
  <c r="M42" i="37"/>
  <c r="Z42" i="37" s="1"/>
  <c r="N41" i="37"/>
  <c r="M41" i="37"/>
  <c r="N40" i="37"/>
  <c r="M40" i="37"/>
  <c r="N39" i="37"/>
  <c r="M39" i="37"/>
  <c r="Z39" i="37" s="1"/>
  <c r="N38" i="37"/>
  <c r="M38" i="37"/>
  <c r="Z38" i="37" s="1"/>
  <c r="N37" i="37"/>
  <c r="M37" i="37"/>
  <c r="N36" i="37"/>
  <c r="M36" i="37"/>
  <c r="N35" i="37"/>
  <c r="M35" i="37"/>
  <c r="Z35" i="37" s="1"/>
  <c r="N34" i="37"/>
  <c r="M34" i="37"/>
  <c r="N33" i="37"/>
  <c r="M33" i="37"/>
  <c r="N32" i="37"/>
  <c r="M32" i="37"/>
  <c r="N31" i="37"/>
  <c r="M31" i="37"/>
  <c r="N30" i="37"/>
  <c r="M30" i="37"/>
  <c r="N29" i="37"/>
  <c r="M29" i="37"/>
  <c r="N28" i="37"/>
  <c r="M28" i="37"/>
  <c r="N27" i="37"/>
  <c r="M27" i="37"/>
  <c r="N26" i="37"/>
  <c r="M26" i="37"/>
  <c r="N25" i="37"/>
  <c r="M25" i="37"/>
  <c r="N24" i="37"/>
  <c r="M24" i="37"/>
  <c r="N23" i="37"/>
  <c r="M23" i="37"/>
  <c r="N22" i="37"/>
  <c r="M22" i="37"/>
  <c r="N21" i="37"/>
  <c r="M21" i="37"/>
  <c r="N20" i="37"/>
  <c r="Z20" i="37" s="1"/>
  <c r="M20" i="37"/>
  <c r="N19" i="37"/>
  <c r="M19" i="37"/>
  <c r="N18" i="37"/>
  <c r="M18" i="37"/>
  <c r="N17" i="37"/>
  <c r="M17" i="37"/>
  <c r="N16" i="37"/>
  <c r="M16" i="37"/>
  <c r="N15" i="37"/>
  <c r="M15" i="37"/>
  <c r="N14" i="37"/>
  <c r="M14" i="37"/>
  <c r="N13" i="37"/>
  <c r="M13" i="37"/>
  <c r="N12" i="37"/>
  <c r="M12" i="37"/>
  <c r="N11" i="37"/>
  <c r="M11" i="37"/>
  <c r="N10" i="37"/>
  <c r="M10" i="37"/>
  <c r="N9" i="37"/>
  <c r="M9" i="37"/>
  <c r="N8" i="37"/>
  <c r="M8" i="37"/>
  <c r="N7" i="37"/>
  <c r="M7" i="37"/>
  <c r="Z7" i="37" s="1"/>
  <c r="N6" i="37"/>
  <c r="M6" i="37"/>
  <c r="Z55" i="37" l="1"/>
  <c r="Z48" i="37"/>
  <c r="Z44" i="37"/>
  <c r="Z27" i="37"/>
  <c r="Z26" i="37"/>
  <c r="Z14" i="37"/>
  <c r="Z52" i="37"/>
  <c r="Z51" i="37"/>
  <c r="Z25" i="37"/>
  <c r="Z24" i="37"/>
  <c r="W68" i="37"/>
  <c r="O77" i="37" s="1"/>
  <c r="U68" i="37"/>
  <c r="Z6" i="37"/>
  <c r="N66" i="37"/>
  <c r="M66" i="37"/>
  <c r="O71" i="37" s="1"/>
  <c r="Z65" i="37" l="1"/>
  <c r="O72" i="37"/>
  <c r="O74" i="37" s="1"/>
  <c r="O80" i="37" s="1"/>
  <c r="S71" i="37"/>
  <c r="B149" i="35" l="1"/>
  <c r="C94" i="35" l="1"/>
  <c r="B22" i="46" l="1"/>
  <c r="C35" i="46" l="1"/>
  <c r="B25" i="35"/>
  <c r="B35" i="35" s="1"/>
  <c r="C64" i="36" l="1"/>
  <c r="E15" i="46" l="1"/>
  <c r="B176" i="35" l="1"/>
  <c r="B24" i="46" l="1"/>
  <c r="B143" i="36" l="1"/>
  <c r="B141" i="36"/>
  <c r="B64" i="36" l="1"/>
  <c r="B15" i="35" l="1"/>
  <c r="B10" i="36" l="1"/>
  <c r="C22" i="46" l="1"/>
  <c r="B19" i="36" l="1"/>
  <c r="C19" i="36"/>
  <c r="B74" i="36" l="1"/>
  <c r="C56" i="36"/>
  <c r="C48" i="36"/>
  <c r="C49" i="36" s="1"/>
  <c r="C15" i="35" l="1"/>
  <c r="C25" i="35" l="1"/>
  <c r="C35" i="35" s="1"/>
  <c r="E14" i="46" l="1"/>
  <c r="B124" i="36" l="1"/>
  <c r="B129" i="36" s="1"/>
  <c r="F14" i="46" l="1"/>
  <c r="F15" i="46" s="1"/>
  <c r="C14" i="46"/>
  <c r="C15" i="46" s="1"/>
  <c r="B110" i="36" l="1"/>
  <c r="C10" i="36"/>
  <c r="C14" i="36"/>
  <c r="C15" i="36" s="1"/>
  <c r="B14" i="36"/>
  <c r="B15" i="36" s="1"/>
  <c r="C24" i="36"/>
  <c r="B24" i="36"/>
  <c r="B48" i="36"/>
  <c r="B49" i="36" s="1"/>
  <c r="B56" i="36"/>
  <c r="C79" i="36"/>
  <c r="B79" i="36"/>
  <c r="B89" i="36"/>
  <c r="C128" i="36"/>
  <c r="B128" i="36"/>
  <c r="C89" i="36" l="1"/>
  <c r="C90" i="36" s="1"/>
  <c r="B90" i="36"/>
  <c r="B75" i="36"/>
  <c r="C110" i="36"/>
  <c r="B25" i="36"/>
  <c r="B28" i="36" s="1"/>
  <c r="B30" i="36" s="1"/>
  <c r="B130" i="36"/>
  <c r="C25" i="36"/>
  <c r="C28" i="36" s="1"/>
  <c r="C29" i="36" s="1"/>
  <c r="C30" i="36" s="1"/>
  <c r="C124" i="36"/>
  <c r="C129" i="36" s="1"/>
  <c r="C75" i="36" l="1"/>
  <c r="C130" i="36"/>
  <c r="B131" i="36"/>
  <c r="B132" i="36" s="1"/>
  <c r="B133" i="36" s="1"/>
  <c r="B134" i="36" l="1"/>
  <c r="C131" i="36"/>
  <c r="C132" i="36" s="1"/>
  <c r="C133" i="36" s="1"/>
  <c r="C134" i="36" s="1"/>
  <c r="B163" i="35"/>
  <c r="B154" i="35"/>
  <c r="B139" i="35"/>
  <c r="C133" i="35"/>
  <c r="B130" i="35"/>
  <c r="B126" i="35"/>
  <c r="C119" i="35"/>
  <c r="B112" i="35"/>
  <c r="B143" i="35" s="1"/>
  <c r="C72" i="35"/>
  <c r="B72" i="35"/>
  <c r="B79" i="35" s="1"/>
  <c r="C154" i="35" l="1"/>
  <c r="C112" i="35"/>
  <c r="C69" i="35"/>
  <c r="C79" i="35" s="1"/>
  <c r="C107" i="35"/>
  <c r="C126" i="35"/>
  <c r="C176" i="35"/>
  <c r="C149" i="35"/>
  <c r="C163" i="35"/>
  <c r="C139" i="35"/>
  <c r="C130" i="35"/>
  <c r="B177" i="35"/>
  <c r="B36" i="35"/>
  <c r="B37" i="35" s="1"/>
  <c r="B38" i="35" s="1"/>
  <c r="B178" i="35" l="1"/>
  <c r="B179" i="35" s="1"/>
  <c r="C143" i="35"/>
  <c r="C177" i="35"/>
  <c r="C36" i="35"/>
  <c r="C37" i="35" s="1"/>
  <c r="C38" i="35" s="1"/>
  <c r="C178" i="35" l="1"/>
  <c r="C179" i="35" s="1"/>
  <c r="C180" i="35" s="1"/>
  <c r="B180" i="35"/>
  <c r="C189" i="35" s="1"/>
  <c r="F67" i="46"/>
  <c r="C67" i="46"/>
  <c r="F45" i="46"/>
  <c r="C45" i="46"/>
  <c r="B45" i="46"/>
  <c r="F35" i="46"/>
  <c r="E35" i="46"/>
  <c r="F22" i="46"/>
  <c r="E22" i="46"/>
  <c r="B138" i="36" l="1"/>
  <c r="F49" i="46"/>
  <c r="C49" i="46"/>
  <c r="C24" i="46"/>
  <c r="E49" i="46"/>
  <c r="E24" i="46"/>
  <c r="F24" i="46"/>
  <c r="B49" i="46"/>
  <c r="B51" i="46" s="1"/>
  <c r="B61" i="46" s="1"/>
  <c r="B145" i="36" l="1"/>
  <c r="E51" i="46"/>
  <c r="E61" i="46" s="1"/>
  <c r="C51" i="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Marjorie Case</author>
  </authors>
  <commentList>
    <comment ref="W24" authorId="0" shapeId="0" xr:uid="{4229B18D-1F4C-4AD5-8F5E-746848BBB2D8}">
      <text>
        <r>
          <rPr>
            <b/>
            <sz val="9"/>
            <color indexed="81"/>
            <rFont val="Tahoma"/>
            <family val="2"/>
          </rPr>
          <t>Marjorie Case:</t>
        </r>
        <r>
          <rPr>
            <sz val="9"/>
            <color indexed="81"/>
            <rFont val="Tahoma"/>
            <family val="2"/>
          </rPr>
          <t xml:space="preserve">
inv for returned check</t>
        </r>
      </text>
    </comment>
  </commentList>
</comments>
</file>

<file path=xl/sharedStrings.xml><?xml version="1.0" encoding="utf-8"?>
<sst xmlns="http://schemas.openxmlformats.org/spreadsheetml/2006/main" count="754" uniqueCount="610">
  <si>
    <t>Income</t>
  </si>
  <si>
    <t>Total Income</t>
  </si>
  <si>
    <t>Gross Profit</t>
  </si>
  <si>
    <t>Net Income</t>
  </si>
  <si>
    <t>Camp</t>
  </si>
  <si>
    <t>Dedicated</t>
  </si>
  <si>
    <t>Missions</t>
  </si>
  <si>
    <t>TOTAL</t>
  </si>
  <si>
    <t>Other Income</t>
  </si>
  <si>
    <t>Total Other Income</t>
  </si>
  <si>
    <t>Net Other Income</t>
  </si>
  <si>
    <t>Balance</t>
  </si>
  <si>
    <t>Pledges Paid</t>
  </si>
  <si>
    <t>Balance Due</t>
  </si>
  <si>
    <t>Total A/R</t>
  </si>
  <si>
    <t>PIN</t>
  </si>
  <si>
    <t>Church</t>
  </si>
  <si>
    <t>Members</t>
  </si>
  <si>
    <t>Presbytery</t>
  </si>
  <si>
    <t>GA</t>
  </si>
  <si>
    <t>Per Capita</t>
  </si>
  <si>
    <t>Mission</t>
  </si>
  <si>
    <t>ADDISON</t>
  </si>
  <si>
    <t>ANDOVER</t>
  </si>
  <si>
    <t>ATLANTA</t>
  </si>
  <si>
    <t>BATH</t>
  </si>
  <si>
    <t>BELLONA</t>
  </si>
  <si>
    <t>BIG FLATS</t>
  </si>
  <si>
    <t>BURDETT</t>
  </si>
  <si>
    <t>CANANDAIGUA</t>
  </si>
  <si>
    <t>CANISTEO</t>
  </si>
  <si>
    <t>COHOCTON</t>
  </si>
  <si>
    <t>CORNING</t>
  </si>
  <si>
    <t>ELMIRA FIRST</t>
  </si>
  <si>
    <t>ELMIRA NORTH</t>
  </si>
  <si>
    <t>GENEVA</t>
  </si>
  <si>
    <t>HAMMONDSPORT</t>
  </si>
  <si>
    <t>HECTOR</t>
  </si>
  <si>
    <t>HORNELL</t>
  </si>
  <si>
    <t>HORSEHEADS</t>
  </si>
  <si>
    <t>HOWARD</t>
  </si>
  <si>
    <t>HURON</t>
  </si>
  <si>
    <t>ITHACA</t>
  </si>
  <si>
    <t>JASPER</t>
  </si>
  <si>
    <t>JUNIUS</t>
  </si>
  <si>
    <t>LYONS</t>
  </si>
  <si>
    <t>MARION</t>
  </si>
  <si>
    <t>MORELAND</t>
  </si>
  <si>
    <t>NEWARK</t>
  </si>
  <si>
    <t>OAKS CORNERS</t>
  </si>
  <si>
    <t>ONTARIO CENTER</t>
  </si>
  <si>
    <t>OVID</t>
  </si>
  <si>
    <t>PAINTED POST</t>
  </si>
  <si>
    <t>PALMYRA</t>
  </si>
  <si>
    <t>PENN YAN</t>
  </si>
  <si>
    <t>PHELPS</t>
  </si>
  <si>
    <t>PRATTSBURGH</t>
  </si>
  <si>
    <t>PULTENEY</t>
  </si>
  <si>
    <t>ROCK STREAM</t>
  </si>
  <si>
    <t>SENECA #9</t>
  </si>
  <si>
    <t>SENECA FALLS</t>
  </si>
  <si>
    <t>SHORTSVILLE</t>
  </si>
  <si>
    <t>SODUS</t>
  </si>
  <si>
    <t>SPENCER</t>
  </si>
  <si>
    <t>TRUMANSBURG</t>
  </si>
  <si>
    <t>WATERLOO</t>
  </si>
  <si>
    <t>WATKINS GLEN</t>
  </si>
  <si>
    <t>Presbytery of Geneva</t>
  </si>
  <si>
    <t>Giving and Other Receipts (Income)</t>
  </si>
  <si>
    <t>Presbytery Receipts</t>
  </si>
  <si>
    <t>Presbytery Mission</t>
  </si>
  <si>
    <t>Other Presbytery Receipts</t>
  </si>
  <si>
    <t>Total Presbytery Receipts</t>
  </si>
  <si>
    <t>Camp Whitman Receipts</t>
  </si>
  <si>
    <t xml:space="preserve">     Camper &amp; Group Fees</t>
  </si>
  <si>
    <t xml:space="preserve">     Presbytery of Geneva Mission</t>
  </si>
  <si>
    <t xml:space="preserve">     Other Donations</t>
  </si>
  <si>
    <t>Total Camp Receipts</t>
  </si>
  <si>
    <t>Total Giving &amp; Other Receipts</t>
  </si>
  <si>
    <t>Ministry &amp; Mission (Expenditures)</t>
  </si>
  <si>
    <t>Presbytery Expenses</t>
  </si>
  <si>
    <t>Total Personnel</t>
  </si>
  <si>
    <t>Total Mission</t>
  </si>
  <si>
    <t>Total Operations</t>
  </si>
  <si>
    <t>Total Presbytery Expenses</t>
  </si>
  <si>
    <t>Camp Whitman Expenses</t>
  </si>
  <si>
    <t>Year-Round Staff Salaries</t>
  </si>
  <si>
    <t>Camp Summer Salaries</t>
  </si>
  <si>
    <t>Program Expenses</t>
  </si>
  <si>
    <t>Operating Expenses</t>
  </si>
  <si>
    <t>Total Camp Whitman Expenses</t>
  </si>
  <si>
    <t>Total Ministry &amp; Mission</t>
  </si>
  <si>
    <r>
      <t>Budget Surplus /</t>
    </r>
    <r>
      <rPr>
        <b/>
        <sz val="12"/>
        <color indexed="10"/>
        <rFont val="Calibri"/>
        <family val="2"/>
      </rPr>
      <t xml:space="preserve"> (Shortage)</t>
    </r>
  </si>
  <si>
    <t>Membership</t>
  </si>
  <si>
    <t>Presbytery per capita</t>
  </si>
  <si>
    <t>Synod per capita</t>
  </si>
  <si>
    <t>GA per capita</t>
  </si>
  <si>
    <t>Total per capita</t>
  </si>
  <si>
    <t>Net Income Per Balance Sheet</t>
  </si>
  <si>
    <t>ASSETS</t>
  </si>
  <si>
    <t>TOTAL ASSETS</t>
  </si>
  <si>
    <t>Mission allocation to Camp</t>
  </si>
  <si>
    <t xml:space="preserve"> Salary Exp - Other</t>
  </si>
  <si>
    <t xml:space="preserve">   Current Assets</t>
  </si>
  <si>
    <t xml:space="preserve">      Bank Accounts</t>
  </si>
  <si>
    <t xml:space="preserve">         103 Community Bank - Savings</t>
  </si>
  <si>
    <t xml:space="preserve">         104 Community Bank - CCCF</t>
  </si>
  <si>
    <t xml:space="preserve">         135 Presbyterian Foundation</t>
  </si>
  <si>
    <t xml:space="preserve">            135-1 Fidelity-Camp Whitman</t>
  </si>
  <si>
    <t xml:space="preserve">         Total 135 Presbyterian Foundation</t>
  </si>
  <si>
    <t xml:space="preserve">      Total Bank Accounts</t>
  </si>
  <si>
    <t xml:space="preserve">      Accounts Receivable</t>
  </si>
  <si>
    <t xml:space="preserve">         11000 Accounts Receivable</t>
  </si>
  <si>
    <t xml:space="preserve">         11001 A/R - YTD Adj</t>
  </si>
  <si>
    <t xml:space="preserve">      Total Accounts Receivable</t>
  </si>
  <si>
    <t xml:space="preserve">      Other Current Assets</t>
  </si>
  <si>
    <t xml:space="preserve">         12000 Undeposited Funds</t>
  </si>
  <si>
    <t xml:space="preserve">         13000 Inventory</t>
  </si>
  <si>
    <t xml:space="preserve">         14400 Prepaid Expenses</t>
  </si>
  <si>
    <t xml:space="preserve">      Total Other Current Assets</t>
  </si>
  <si>
    <t xml:space="preserve">   Total Current Assets</t>
  </si>
  <si>
    <t xml:space="preserve">   Fixed Assets</t>
  </si>
  <si>
    <t xml:space="preserve">      10000 Presbytery</t>
  </si>
  <si>
    <t xml:space="preserve">         14000 FA - Presbytery</t>
  </si>
  <si>
    <t xml:space="preserve">            14210 Building</t>
  </si>
  <si>
    <t xml:space="preserve">            14500 Leasehold improvements</t>
  </si>
  <si>
    <t xml:space="preserve">            14800 Furniture and Equipment</t>
  </si>
  <si>
    <t xml:space="preserve">         Total 14000 FA - Presbytery</t>
  </si>
  <si>
    <t xml:space="preserve">         14200 A/D - Presbytery</t>
  </si>
  <si>
    <t xml:space="preserve">            14100 Building - A/D</t>
  </si>
  <si>
    <t xml:space="preserve">            14510 Leasehold Improv - A/D</t>
  </si>
  <si>
    <t xml:space="preserve">            14810 Furniture &amp; Fixtures - A/D</t>
  </si>
  <si>
    <t xml:space="preserve">            15301 Accumulated Amortization</t>
  </si>
  <si>
    <t xml:space="preserve">         Total 14200 A/D - Presbytery</t>
  </si>
  <si>
    <t xml:space="preserve">         15000 FA - Camp</t>
  </si>
  <si>
    <t xml:space="preserve">            15100 Buildings</t>
  </si>
  <si>
    <t xml:space="preserve">            15150 Land</t>
  </si>
  <si>
    <t xml:space="preserve">            15200 Improvements</t>
  </si>
  <si>
    <t xml:space="preserve">            15300 Furniture &amp; Equipment</t>
  </si>
  <si>
    <t xml:space="preserve">               15310 Boats</t>
  </si>
  <si>
    <t xml:space="preserve">               15340 Vehicles/Tractors</t>
  </si>
  <si>
    <t xml:space="preserve">            Total 15600 Vehicles &amp; Boats</t>
  </si>
  <si>
    <t xml:space="preserve">         Total 15000 FA - Camp</t>
  </si>
  <si>
    <t xml:space="preserve">         15700 A/D - Camp</t>
  </si>
  <si>
    <t xml:space="preserve">            15110 Buildings - A/D</t>
  </si>
  <si>
    <t xml:space="preserve">            15450 Vehicles &amp; Boats - A/D</t>
  </si>
  <si>
    <t xml:space="preserve">               15311 Boats - A/D</t>
  </si>
  <si>
    <t xml:space="preserve">               15341 Vehicles - A/D</t>
  </si>
  <si>
    <t xml:space="preserve">            Total 15450 Vehicles &amp; Boats - A/D</t>
  </si>
  <si>
    <t xml:space="preserve">         Total 15700 A/D - Camp</t>
  </si>
  <si>
    <t xml:space="preserve">      Total 10000 Presbytery</t>
  </si>
  <si>
    <t xml:space="preserve">   Total Fixed Assets</t>
  </si>
  <si>
    <t xml:space="preserve">   Other Assets</t>
  </si>
  <si>
    <t xml:space="preserve">      300 Marketable Securities</t>
  </si>
  <si>
    <t xml:space="preserve">         303 Endowment-Presbytery Gen'l</t>
  </si>
  <si>
    <t xml:space="preserve">         304 Endowment- Camp Whitman</t>
  </si>
  <si>
    <t xml:space="preserve">         401 Int PF GP Endowment</t>
  </si>
  <si>
    <t xml:space="preserve">      Total 300 Marketable Securities</t>
  </si>
  <si>
    <t xml:space="preserve">   Total Other Assets</t>
  </si>
  <si>
    <t>LIABILITIES AND EQUITY</t>
  </si>
  <si>
    <t xml:space="preserve">   Liabilities</t>
  </si>
  <si>
    <t xml:space="preserve">      Current Liabilities</t>
  </si>
  <si>
    <t xml:space="preserve">         Accounts Payable</t>
  </si>
  <si>
    <t xml:space="preserve">            20000 Accounts Payable</t>
  </si>
  <si>
    <t xml:space="preserve">         Total Accounts Payable</t>
  </si>
  <si>
    <t xml:space="preserve">         Credit Cards</t>
  </si>
  <si>
    <t xml:space="preserve">         Total Credit Cards</t>
  </si>
  <si>
    <t xml:space="preserve">         Other Current Liabilities</t>
  </si>
  <si>
    <t xml:space="preserve">            26000 CB - Building Loan</t>
  </si>
  <si>
    <t xml:space="preserve">            26660 Accrued Payroll</t>
  </si>
  <si>
    <t xml:space="preserve">         Total Other Current Liabilities</t>
  </si>
  <si>
    <t xml:space="preserve">      Total Current Liabilities</t>
  </si>
  <si>
    <t xml:space="preserve">   Total Liabilities</t>
  </si>
  <si>
    <t xml:space="preserve">   Equity</t>
  </si>
  <si>
    <t xml:space="preserve">         3200.10 Operations</t>
  </si>
  <si>
    <t xml:space="preserve">         3200.20 Board Designated</t>
  </si>
  <si>
    <t xml:space="preserve">      Net Income</t>
  </si>
  <si>
    <t xml:space="preserve">   Total Equity</t>
  </si>
  <si>
    <t>TOTAL LIABILITIES AND EQUITY</t>
  </si>
  <si>
    <t xml:space="preserve">   4000.00 Presbytery Receipts</t>
  </si>
  <si>
    <t xml:space="preserve">      4200.00 Mission - Presbytery</t>
  </si>
  <si>
    <t xml:space="preserve">         3100_M Presbytery Mission</t>
  </si>
  <si>
    <t xml:space="preserve">         3101_M PM - YTD A/R Adj</t>
  </si>
  <si>
    <t xml:space="preserve">      Total 4200.00 Mission - Presbytery</t>
  </si>
  <si>
    <t xml:space="preserve">         4200 Operation</t>
  </si>
  <si>
    <t xml:space="preserve">            4200_O Presbytery Per Capita</t>
  </si>
  <si>
    <t xml:space="preserve">            4202_O PC - YTD A/R Adj</t>
  </si>
  <si>
    <t xml:space="preserve">         Total 4200 Operation</t>
  </si>
  <si>
    <t xml:space="preserve">      4303.00 Other Presbytery Reciepts</t>
  </si>
  <si>
    <t xml:space="preserve">         3200 Synod</t>
  </si>
  <si>
    <t xml:space="preserve">            3200_M Synod Mission</t>
  </si>
  <si>
    <t xml:space="preserve">         Total 3200 Synod</t>
  </si>
  <si>
    <t xml:space="preserve">         4440_O Miscellaneous</t>
  </si>
  <si>
    <t xml:space="preserve">            4404_O Other</t>
  </si>
  <si>
    <t xml:space="preserve">         Total 4440_O Miscellaneous</t>
  </si>
  <si>
    <t xml:space="preserve">      Total 4303.00 Other Presbytery Reciepts</t>
  </si>
  <si>
    <t xml:space="preserve">   Total 4000.00 Presbytery Receipts</t>
  </si>
  <si>
    <t xml:space="preserve">   4999 CAMP WHITMAN INCOME</t>
  </si>
  <si>
    <t xml:space="preserve">      1001_W Camper &amp; Group Fees</t>
  </si>
  <si>
    <t xml:space="preserve">         1000_W Camper Fees</t>
  </si>
  <si>
    <t xml:space="preserve">         1050_W Rental Group Fees</t>
  </si>
  <si>
    <t xml:space="preserve">      Total 1001_W Camper &amp; Group Fees</t>
  </si>
  <si>
    <t xml:space="preserve">      1601_W Other Donations</t>
  </si>
  <si>
    <t xml:space="preserve">         1300_W Camp Mission/Scholarship Income</t>
  </si>
  <si>
    <t xml:space="preserve">            1350_W Pres. of Genesee Local Church</t>
  </si>
  <si>
    <t xml:space="preserve">            1400_W Pres. of Genesee Valley Mission</t>
  </si>
  <si>
    <t xml:space="preserve">         Total 1300_W Camp Mission/Scholarship Income</t>
  </si>
  <si>
    <t xml:space="preserve">         1600_W Misc. Income</t>
  </si>
  <si>
    <t xml:space="preserve">      Total 1601_W Other Donations</t>
  </si>
  <si>
    <t xml:space="preserve">   Total 4999 CAMP WHITMAN INCOME</t>
  </si>
  <si>
    <t>Expenses</t>
  </si>
  <si>
    <t xml:space="preserve">   2111 CAMP WHITMAN EXPENDITURES</t>
  </si>
  <si>
    <t xml:space="preserve">      2113_W Year Round Staff Salaries</t>
  </si>
  <si>
    <t xml:space="preserve">         2603_W Camp Director</t>
  </si>
  <si>
    <t xml:space="preserve">            2661_W Cash Salary</t>
  </si>
  <si>
    <t xml:space="preserve">            2663_W Board of Pension</t>
  </si>
  <si>
    <t xml:space="preserve">         Total 2603_W Camp Director</t>
  </si>
  <si>
    <t xml:space="preserve">      Total 2113_W Year Round Staff Salaries</t>
  </si>
  <si>
    <t xml:space="preserve">      2117_W Camp Payroll Other</t>
  </si>
  <si>
    <t xml:space="preserve">         2125_W FICA_Camp</t>
  </si>
  <si>
    <t xml:space="preserve">         2127_W Recruitement</t>
  </si>
  <si>
    <t xml:space="preserve">      Total 2117_W Camp Payroll Other</t>
  </si>
  <si>
    <t xml:space="preserve">      2200_W Program Expense</t>
  </si>
  <si>
    <t xml:space="preserve">         2205_W Bank Fees</t>
  </si>
  <si>
    <t xml:space="preserve">         2210_W Computer Software &amp; Support</t>
  </si>
  <si>
    <t xml:space="preserve">         2251_W Office Expenses/Support</t>
  </si>
  <si>
    <t xml:space="preserve">            2255_W Postage</t>
  </si>
  <si>
    <t xml:space="preserve">         Total 2251_W Office Expenses/Support</t>
  </si>
  <si>
    <t xml:space="preserve">         2256_W Professional Developement</t>
  </si>
  <si>
    <t xml:space="preserve">         2275_W Registration Materials</t>
  </si>
  <si>
    <t xml:space="preserve">         2290_W Marketing &amp; Advertising</t>
  </si>
  <si>
    <t xml:space="preserve">         2750_W Permits/Memberships</t>
  </si>
  <si>
    <t xml:space="preserve">      Total 2200_W Program Expense</t>
  </si>
  <si>
    <t xml:space="preserve">      2500.00 Camp Operating Expenses</t>
  </si>
  <si>
    <t xml:space="preserve">         2150_W Insurance</t>
  </si>
  <si>
    <t xml:space="preserve">            2155_W Property/Liability/Accident</t>
  </si>
  <si>
    <t xml:space="preserve">         Total 2150_W Insurance</t>
  </si>
  <si>
    <t xml:space="preserve">         2300_W Utilities</t>
  </si>
  <si>
    <t xml:space="preserve">            2310_W Telephone &amp; Internet</t>
  </si>
  <si>
    <t xml:space="preserve">         Total 2300_W Utilities</t>
  </si>
  <si>
    <t xml:space="preserve">      Total 2500.00 Camp Operating Expenses</t>
  </si>
  <si>
    <t xml:space="preserve">   Total 2111 CAMP WHITMAN EXPENDITURES</t>
  </si>
  <si>
    <t xml:space="preserve">   2222.00 Presbytery Expenses</t>
  </si>
  <si>
    <t xml:space="preserve">      6000_O Salaries and Benefits</t>
  </si>
  <si>
    <t xml:space="preserve">         6001_O Executive Salaries</t>
  </si>
  <si>
    <t xml:space="preserve">         Total 6001_O Executive Salaries</t>
  </si>
  <si>
    <t xml:space="preserve">         6020_O Stated Clerk</t>
  </si>
  <si>
    <t xml:space="preserve">            6021_O Cash Salary</t>
  </si>
  <si>
    <t xml:space="preserve">         Total 6020_O Stated Clerk</t>
  </si>
  <si>
    <t xml:space="preserve">            6036_O Board of Pension/Fidelity Inv.</t>
  </si>
  <si>
    <t xml:space="preserve">         6222_O Benefits</t>
  </si>
  <si>
    <t xml:space="preserve">            6220_O Disability Insurance</t>
  </si>
  <si>
    <t xml:space="preserve">         Total 6222_O Benefits</t>
  </si>
  <si>
    <t xml:space="preserve">      Total 6000_O Salaries and Benefits</t>
  </si>
  <si>
    <t xml:space="preserve">      7100.00 Operating Expenses</t>
  </si>
  <si>
    <t xml:space="preserve">         6600_O Office Expenses</t>
  </si>
  <si>
    <t xml:space="preserve">            6615_O Maintenance &amp; Repairs</t>
  </si>
  <si>
    <t xml:space="preserve">            6620_O Utilities</t>
  </si>
  <si>
    <t xml:space="preserve">            6630_O Telephone</t>
  </si>
  <si>
    <t xml:space="preserve">            6651_O Bank Fees</t>
  </si>
  <si>
    <t xml:space="preserve">            6655_O Equip. Leases/Service Contracts</t>
  </si>
  <si>
    <t xml:space="preserve">            6660_O Equipment Purchases</t>
  </si>
  <si>
    <t xml:space="preserve">            6661_O Computer Software-Hardware</t>
  </si>
  <si>
    <t xml:space="preserve">            6665_O Website</t>
  </si>
  <si>
    <t xml:space="preserve">            6670_O Office Supplies &amp; Hospitality</t>
  </si>
  <si>
    <t xml:space="preserve">            6755_O Building Loan</t>
  </si>
  <si>
    <t xml:space="preserve">         Total 6600_O Office Expenses</t>
  </si>
  <si>
    <t xml:space="preserve">         6700 Other Operating Expenses</t>
  </si>
  <si>
    <t xml:space="preserve">            6720_O Insurance-Office</t>
  </si>
  <si>
    <t xml:space="preserve">            6770_O GA/Synod Meetings</t>
  </si>
  <si>
    <t xml:space="preserve">         Total 6700 Other Operating Expenses</t>
  </si>
  <si>
    <t xml:space="preserve">      Total 7100.00 Operating Expenses</t>
  </si>
  <si>
    <t xml:space="preserve">   Total 2222.00 Presbytery Expenses</t>
  </si>
  <si>
    <t>Total Expenses</t>
  </si>
  <si>
    <t>Net Operating Income</t>
  </si>
  <si>
    <t xml:space="preserve">   7000 DEDICATED INCOME</t>
  </si>
  <si>
    <t xml:space="preserve">      7150_D Two-Cents-A-Meal</t>
  </si>
  <si>
    <t xml:space="preserve">   Total 7000 DEDICATED INCOME</t>
  </si>
  <si>
    <t xml:space="preserve">         2243_W Committee Exp.</t>
  </si>
  <si>
    <t xml:space="preserve">            2235_W Mileage/Meals for Staff</t>
  </si>
  <si>
    <t xml:space="preserve">            6800 Outside Contractors</t>
  </si>
  <si>
    <t xml:space="preserve">               6810_O Payroll Service</t>
  </si>
  <si>
    <t xml:space="preserve">            1500_W Pres. of Geneva Endowment Int</t>
  </si>
  <si>
    <t xml:space="preserve">            1550_W Pres. of Geneva Mission Pledge</t>
  </si>
  <si>
    <t xml:space="preserve">         1610_W Fund Raising Events</t>
  </si>
  <si>
    <t xml:space="preserve">         1662_W Camp Store</t>
  </si>
  <si>
    <t xml:space="preserve">      2000.20 Camp Summer Salaries</t>
  </si>
  <si>
    <t xml:space="preserve">         2010_W Aquatic Director</t>
  </si>
  <si>
    <t xml:space="preserve">         2032_W Nurse</t>
  </si>
  <si>
    <t xml:space="preserve">         2040_W Head Cook</t>
  </si>
  <si>
    <t xml:space="preserve">         2070_W Housekeeper/Maint Assist</t>
  </si>
  <si>
    <t xml:space="preserve">         2110_W Counselors</t>
  </si>
  <si>
    <t xml:space="preserve">      Total 2000.20 Camp Summer Salaries</t>
  </si>
  <si>
    <t xml:space="preserve">         2604_W Camp Property Manager</t>
  </si>
  <si>
    <t xml:space="preserve">            2665_W Cash Salary</t>
  </si>
  <si>
    <t xml:space="preserve">         Total 2604_W Camp Property Manager</t>
  </si>
  <si>
    <t xml:space="preserve">         2605_W Assistant Property Manager</t>
  </si>
  <si>
    <t xml:space="preserve">            2668_W Cash Salary</t>
  </si>
  <si>
    <t xml:space="preserve">         2120_W Workers Comp_Camp</t>
  </si>
  <si>
    <t xml:space="preserve">         2225_W Arts &amp; Crafts</t>
  </si>
  <si>
    <t xml:space="preserve">         2230_W General Program Expenses</t>
  </si>
  <si>
    <t xml:space="preserve">            2252_W Office Supplies</t>
  </si>
  <si>
    <t xml:space="preserve">         2270_W Camp Store</t>
  </si>
  <si>
    <t xml:space="preserve">         2271_W Staff T Shirts</t>
  </si>
  <si>
    <t xml:space="preserve">         2280_W Program Equipment</t>
  </si>
  <si>
    <t xml:space="preserve">         2291_W Website</t>
  </si>
  <si>
    <t xml:space="preserve">         2400_W Swimming Pool</t>
  </si>
  <si>
    <t xml:space="preserve">            2410_W Chemicals</t>
  </si>
  <si>
    <t xml:space="preserve">            2420_W Equipment and Repair</t>
  </si>
  <si>
    <t xml:space="preserve">         Total 2400_W Swimming Pool</t>
  </si>
  <si>
    <t xml:space="preserve">         2500_W Lakefront</t>
  </si>
  <si>
    <t xml:space="preserve">            2510_W Boat Maintenance &amp; Repair</t>
  </si>
  <si>
    <t xml:space="preserve">            2530_W Equipment &amp; Repair</t>
  </si>
  <si>
    <t xml:space="preserve">         Total 2500_W Lakefront</t>
  </si>
  <si>
    <t xml:space="preserve">         2600_W Medical</t>
  </si>
  <si>
    <t xml:space="preserve">            2610_W Medical Supplies &amp; Equipment</t>
  </si>
  <si>
    <t xml:space="preserve">         Total 2600_W Medical</t>
  </si>
  <si>
    <t xml:space="preserve">         2700_W Kitchen</t>
  </si>
  <si>
    <t xml:space="preserve">            2710_W Food</t>
  </si>
  <si>
    <t xml:space="preserve">            2720_W Kitchen &amp; Cleaning Supplies</t>
  </si>
  <si>
    <t xml:space="preserve">            2730_W Equipment &amp; Repair</t>
  </si>
  <si>
    <t xml:space="preserve">         Total 2700_W Kitchen</t>
  </si>
  <si>
    <t xml:space="preserve">            2154_W Vehicle</t>
  </si>
  <si>
    <t xml:space="preserve">            2320_W Electric</t>
  </si>
  <si>
    <t xml:space="preserve">            2330_W Propane Gas</t>
  </si>
  <si>
    <t xml:space="preserve">         2800_W Vehicle Maintenance</t>
  </si>
  <si>
    <t xml:space="preserve">            2810_W Cars &amp; Trucks</t>
  </si>
  <si>
    <t xml:space="preserve">            2820_W Tractor</t>
  </si>
  <si>
    <t xml:space="preserve">            2830_W Golf Carts</t>
  </si>
  <si>
    <t xml:space="preserve">            2840_W Mower</t>
  </si>
  <si>
    <t xml:space="preserve">            2850_W Fuel</t>
  </si>
  <si>
    <t xml:space="preserve">            2860_W Large Equip</t>
  </si>
  <si>
    <t xml:space="preserve">         Total 2800_W Vehicle Maintenance</t>
  </si>
  <si>
    <t xml:space="preserve">         2900 General Maintenance</t>
  </si>
  <si>
    <t xml:space="preserve">            2910_W Small Equipment Repair</t>
  </si>
  <si>
    <t xml:space="preserve">            2920_W New Equipment &amp; Tools</t>
  </si>
  <si>
    <t xml:space="preserve">            2940_W Port a Johns</t>
  </si>
  <si>
    <t xml:space="preserve">            2950_W Refuse Removal Fees</t>
  </si>
  <si>
    <t xml:space="preserve">            2960_W Fire Extinguishers</t>
  </si>
  <si>
    <t xml:space="preserve">            2970_W General Supplies</t>
  </si>
  <si>
    <t xml:space="preserve">            2980_W Water System Supplies &amp; Repairs</t>
  </si>
  <si>
    <t xml:space="preserve">            2990_W Lumber &amp; Building Supplies</t>
  </si>
  <si>
    <t xml:space="preserve">         Total 2900 General Maintenance</t>
  </si>
  <si>
    <t xml:space="preserve">            6027_O Travel/Business</t>
  </si>
  <si>
    <t xml:space="preserve">            6250_O Worker's Comp</t>
  </si>
  <si>
    <t xml:space="preserve">            6270_O Unemployment Insurance</t>
  </si>
  <si>
    <t xml:space="preserve">      6800.00 MISSION EXPENDITURES</t>
  </si>
  <si>
    <t xml:space="preserve">         5100_M Presbytery Endorsed Projects</t>
  </si>
  <si>
    <t xml:space="preserve">            5155_M Youth Triennium</t>
  </si>
  <si>
    <t xml:space="preserve">         Total 5100_M Presbytery Endorsed Projects</t>
  </si>
  <si>
    <t xml:space="preserve">         5350_M Mission Allocation to Camp</t>
  </si>
  <si>
    <t xml:space="preserve">         6500_M Mission Priority of Presbytery</t>
  </si>
  <si>
    <t xml:space="preserve">         Total 6500_M Mission Priority of Presbytery</t>
  </si>
  <si>
    <t xml:space="preserve">      Total 6800.00 MISSION EXPENDITURES</t>
  </si>
  <si>
    <t xml:space="preserve">            6730_O Synod Per Capita</t>
  </si>
  <si>
    <t xml:space="preserve">            6740_O GA Per Capita</t>
  </si>
  <si>
    <t xml:space="preserve">            6775_O Presbytery Meeting Expenses</t>
  </si>
  <si>
    <t xml:space="preserve">            6795_O Staff Travel</t>
  </si>
  <si>
    <t xml:space="preserve">      3200.00 Net Assets without Restrictions</t>
  </si>
  <si>
    <t xml:space="preserve">      Total 3200.00 Net Assets without Restrictions</t>
  </si>
  <si>
    <t xml:space="preserve">      3440.00 Net Assets with Restrictions</t>
  </si>
  <si>
    <t xml:space="preserve">         3440.10 Perm. Restricted Net Assets</t>
  </si>
  <si>
    <t xml:space="preserve">      Total 3440.00 Net Assets with Restrictions</t>
  </si>
  <si>
    <t xml:space="preserve">            1301_W Misc Camper Donations/Scholar.</t>
  </si>
  <si>
    <t xml:space="preserve">         2725_W Fund Raising Expenses</t>
  </si>
  <si>
    <t xml:space="preserve">            6900 Professional Fees</t>
  </si>
  <si>
    <t xml:space="preserve">      4200_OP Per Capita</t>
  </si>
  <si>
    <t xml:space="preserve">      Total 4200_OP Per Capita</t>
  </si>
  <si>
    <t xml:space="preserve">         2128_W Payroll Service Fees</t>
  </si>
  <si>
    <t xml:space="preserve">            6504_M Leader Care</t>
  </si>
  <si>
    <t xml:space="preserve">            6509_M Vitality</t>
  </si>
  <si>
    <t xml:space="preserve">            6511_M Committee on Ministry</t>
  </si>
  <si>
    <t xml:space="preserve">            6662_O Committee Expenses</t>
  </si>
  <si>
    <t xml:space="preserve">            6750_O Legal Expenses</t>
  </si>
  <si>
    <t xml:space="preserve">         2101_W CIT &amp; Mission Trip Leader</t>
  </si>
  <si>
    <t xml:space="preserve">         2265_W Staff Training</t>
  </si>
  <si>
    <t xml:space="preserve">            2731_W Kitchen Supplies/Equipment</t>
  </si>
  <si>
    <t xml:space="preserve">            2865_W Vehicle Rental</t>
  </si>
  <si>
    <t xml:space="preserve">            1450_W Pres. of Geneva Churches</t>
  </si>
  <si>
    <t xml:space="preserve">            6685_O Staff Development</t>
  </si>
  <si>
    <t xml:space="preserve">               6820_O Bookkeeping</t>
  </si>
  <si>
    <t xml:space="preserve">               6910_O Auditor Contract</t>
  </si>
  <si>
    <t>Total</t>
  </si>
  <si>
    <t xml:space="preserve">            15320 Furniture &amp; Fixtures - A/D</t>
  </si>
  <si>
    <t xml:space="preserve">         3440.30 TR - Time Restricted</t>
  </si>
  <si>
    <t xml:space="preserve">            6050_O Presbytery Leader</t>
  </si>
  <si>
    <t xml:space="preserve">            Total 6050_O Presbytery Leader</t>
  </si>
  <si>
    <t xml:space="preserve">         2129_W NYS DBL</t>
  </si>
  <si>
    <t xml:space="preserve">               6057_O Study Leave</t>
  </si>
  <si>
    <t xml:space="preserve">            2930_W Pump Holding Tanks</t>
  </si>
  <si>
    <t xml:space="preserve">         5200_M Mission &amp; Witness (inc. grants)</t>
  </si>
  <si>
    <t xml:space="preserve">            26555 Def Revenue Camp</t>
  </si>
  <si>
    <t xml:space="preserve">               6053_O SECA Offset/FICA</t>
  </si>
  <si>
    <t xml:space="preserve">            Total 6800 Outside Contractors</t>
  </si>
  <si>
    <t xml:space="preserve">            Total 6900 Professional Fees</t>
  </si>
  <si>
    <t xml:space="preserve">            2236_W Staff Appreciation</t>
  </si>
  <si>
    <t xml:space="preserve">               6051_O Cash Salary - Operations</t>
  </si>
  <si>
    <t xml:space="preserve">         2232_W Staff Expenses</t>
  </si>
  <si>
    <t xml:space="preserve">         Total 2232_W Staff Expenses</t>
  </si>
  <si>
    <t xml:space="preserve">            6799_O Adj for Uncollectables</t>
  </si>
  <si>
    <t>Net Operating/Missions- income/expenses</t>
  </si>
  <si>
    <t>Net Other Income/other expenses</t>
  </si>
  <si>
    <t>Ties to Balance Sheet</t>
  </si>
  <si>
    <t xml:space="preserve">               6060_O - Fidelity - Retirement</t>
  </si>
  <si>
    <t xml:space="preserve">            6023_O Seca Offset/Fica</t>
  </si>
  <si>
    <t xml:space="preserve">            Payroll Liabilities</t>
  </si>
  <si>
    <t xml:space="preserve">               Direct Deposit Payable</t>
  </si>
  <si>
    <t xml:space="preserve">               NY PFL</t>
  </si>
  <si>
    <t xml:space="preserve">               NY SDI</t>
  </si>
  <si>
    <t xml:space="preserve">               NYS Employment Taxes</t>
  </si>
  <si>
    <t xml:space="preserve">            Total Payroll Liabilities</t>
  </si>
  <si>
    <t xml:space="preserve">            4500.O Interest</t>
  </si>
  <si>
    <t xml:space="preserve">              6840_O Computer Services</t>
  </si>
  <si>
    <t>Net Other Other - Investment gains/losses</t>
  </si>
  <si>
    <t>Balance Sheet</t>
  </si>
  <si>
    <t xml:space="preserve">    Misc Other</t>
  </si>
  <si>
    <t>Net Dedicated Accts</t>
  </si>
  <si>
    <t xml:space="preserve">            2850.00 Community Bank</t>
  </si>
  <si>
    <t xml:space="preserve">               2850.30 Camp Facility Manager</t>
  </si>
  <si>
    <t xml:space="preserve">            Total 2850.00 Community Bank</t>
  </si>
  <si>
    <t xml:space="preserve">         2125_W Payroll Taxes - Camp</t>
  </si>
  <si>
    <t xml:space="preserve">            6023_O Payroll Taxes</t>
  </si>
  <si>
    <t xml:space="preserve">         2205_W BankFees/Commissions</t>
  </si>
  <si>
    <t xml:space="preserve">               2850.25 Susan Orr</t>
  </si>
  <si>
    <t xml:space="preserve">         101 Community Bank - Operating  (1525)</t>
  </si>
  <si>
    <t xml:space="preserve">         105 Community - Camp Checking (0670)</t>
  </si>
  <si>
    <t xml:space="preserve">         106 Community - Camp Savings 2473</t>
  </si>
  <si>
    <t xml:space="preserve">            6640_O Postage/PO Box</t>
  </si>
  <si>
    <t xml:space="preserve">         Total 6030_O Communication</t>
  </si>
  <si>
    <t xml:space="preserve">            6790_O Moving Expenses</t>
  </si>
  <si>
    <t>Weston</t>
  </si>
  <si>
    <t>Wolcott</t>
  </si>
  <si>
    <t>Naples</t>
  </si>
  <si>
    <t>Presbytary Mission</t>
  </si>
  <si>
    <t xml:space="preserve">         1100_W Holiday Weekend Rental Fees</t>
  </si>
  <si>
    <t xml:space="preserve">         1557_W Meals/Program Fees</t>
  </si>
  <si>
    <t xml:space="preserve">            1551_W Membership Dues</t>
  </si>
  <si>
    <t xml:space="preserve">        2020_W Program Staff/Life Guards</t>
  </si>
  <si>
    <t xml:space="preserve">            2611_W Cash Salary</t>
  </si>
  <si>
    <t xml:space="preserve">            2254_W Staff Travel</t>
  </si>
  <si>
    <t xml:space="preserve">               6058_O Travel/Business </t>
  </si>
  <si>
    <t xml:space="preserve">         6030_O Administrative Service</t>
  </si>
  <si>
    <t xml:space="preserve">            6031_O Cash Salary - Communication</t>
  </si>
  <si>
    <t xml:space="preserve">            6041_O Cash Salary - Financial Assistant</t>
  </si>
  <si>
    <t xml:space="preserve">            6065-O Payroll Taxes</t>
  </si>
  <si>
    <t xml:space="preserve">           6756_O - Home Office reimbursement</t>
  </si>
  <si>
    <t xml:space="preserve">            6856_O Rent Storage Space</t>
  </si>
  <si>
    <t xml:space="preserve">            6031_O Cash Salary - Communications</t>
  </si>
  <si>
    <t xml:space="preserve">         Total 6030_O Administrative Service</t>
  </si>
  <si>
    <t xml:space="preserve">            6756_O Home Office Reimbursement</t>
  </si>
  <si>
    <t xml:space="preserve">             6058_M - Travel Business Mission</t>
  </si>
  <si>
    <t xml:space="preserve">         102 Community Savings - MM</t>
  </si>
  <si>
    <t xml:space="preserve">         110 Community Bank - Mexico Mission</t>
  </si>
  <si>
    <t xml:space="preserve">         120 PayPal</t>
  </si>
  <si>
    <t xml:space="preserve">         130 Presbytery Mission Exchange</t>
  </si>
  <si>
    <t xml:space="preserve">            14900 Vehicles</t>
  </si>
  <si>
    <t xml:space="preserve">            15210 Improvements - A/D</t>
  </si>
  <si>
    <t xml:space="preserve">         301 Smith Barney MM - 13902-19</t>
  </si>
  <si>
    <t xml:space="preserve">         301.1 Morgan Stanley - MM 111909</t>
  </si>
  <si>
    <t xml:space="preserve">            301.11 Cash, MM</t>
  </si>
  <si>
    <t xml:space="preserve">            301.13 Stocks</t>
  </si>
  <si>
    <t xml:space="preserve">            301.14 Mutual Funds</t>
  </si>
  <si>
    <t xml:space="preserve">         Total 301.1 Morgan Stanley - MM 111909</t>
  </si>
  <si>
    <t xml:space="preserve">         302 Endowment- Canoga Church</t>
  </si>
  <si>
    <t xml:space="preserve">               2850.10 Elena Delhagen</t>
  </si>
  <si>
    <t xml:space="preserve">               2850.20 Lea Kone</t>
  </si>
  <si>
    <t xml:space="preserve">            26510 Due to</t>
  </si>
  <si>
    <t xml:space="preserve">            26550 Deferred Revenue</t>
  </si>
  <si>
    <t xml:space="preserve">            27850 Due To - NCD Special Offering</t>
  </si>
  <si>
    <t xml:space="preserve">            6280 Federal Witholding</t>
  </si>
  <si>
    <t xml:space="preserve">            6285 FICA-Employee Share</t>
  </si>
  <si>
    <t xml:space="preserve">            6290 State Witholding</t>
  </si>
  <si>
    <t>Depreciation (Building Sale</t>
  </si>
  <si>
    <t xml:space="preserve">         </t>
  </si>
  <si>
    <t xml:space="preserve">            6041_O Cash Salary (Financial Assistant)</t>
  </si>
  <si>
    <t>Prior Year adjustment</t>
  </si>
  <si>
    <t>Net Dedicated Accounts</t>
  </si>
  <si>
    <t>Net Camp Activity</t>
  </si>
  <si>
    <t>Prior Year Adj</t>
  </si>
  <si>
    <t>Income YTD - New Covenent - Operations</t>
  </si>
  <si>
    <t>Other Income New covenant</t>
  </si>
  <si>
    <t xml:space="preserve">         2090_W DD Camp Coordinator</t>
  </si>
  <si>
    <t xml:space="preserve">        2015_W Office Assistant</t>
  </si>
  <si>
    <t xml:space="preserve">               CA PIT / SDI</t>
  </si>
  <si>
    <t xml:space="preserve">               CT Income Tax</t>
  </si>
  <si>
    <t xml:space="preserve">               ME Income Tax</t>
  </si>
  <si>
    <t xml:space="preserve">         3440.40 TR-Unappropriated Endowment Earnings</t>
  </si>
  <si>
    <t xml:space="preserve">         2099_W Uncategorized Expenses Camp</t>
  </si>
  <si>
    <t xml:space="preserve">            6027_O Per diem</t>
  </si>
  <si>
    <t xml:space="preserve">          5135_O - New Church Development</t>
  </si>
  <si>
    <t>united way - Roc the Day - Camp</t>
  </si>
  <si>
    <t xml:space="preserve">            6715_O -  Dues</t>
  </si>
  <si>
    <t>Arkport</t>
  </si>
  <si>
    <t xml:space="preserve">            2100_W Graded Camp/Program  Co-ordinator</t>
  </si>
  <si>
    <t xml:space="preserve">                       Rental Group Host</t>
  </si>
  <si>
    <t xml:space="preserve">                       Housekeeping</t>
  </si>
  <si>
    <t xml:space="preserve">               6056_O Board of Pensions</t>
  </si>
  <si>
    <t xml:space="preserve">            4500_O Interest Income</t>
  </si>
  <si>
    <t>After YE</t>
  </si>
  <si>
    <t xml:space="preserve">            6265_O Payroll Taxes - Admin Services</t>
  </si>
  <si>
    <t xml:space="preserve">               2855.10 Program Director</t>
  </si>
  <si>
    <t xml:space="preserve">               6052_O Housing</t>
  </si>
  <si>
    <t xml:space="preserve">          Undistributed income</t>
  </si>
  <si>
    <t xml:space="preserve">               MEMBER DENTAL</t>
  </si>
  <si>
    <t xml:space="preserve">         2045_W Assistant Cook</t>
  </si>
  <si>
    <t xml:space="preserve">         2103_W Chaplain Intern</t>
  </si>
  <si>
    <t xml:space="preserve">         2106_W Video/Media</t>
  </si>
  <si>
    <t xml:space="preserve">               2855.20 Marjorie Ackermann</t>
  </si>
  <si>
    <t xml:space="preserve">               MA Income Tax</t>
  </si>
  <si>
    <t>Camp Seneca Lake</t>
  </si>
  <si>
    <t xml:space="preserve">            2995_W - Outside Contractors</t>
  </si>
  <si>
    <t>Ernest Sead</t>
  </si>
  <si>
    <t xml:space="preserve">         2126_W Other/Outside Contractor</t>
  </si>
  <si>
    <t xml:space="preserve">        2222_W Permits</t>
  </si>
  <si>
    <t>usda_NRCS</t>
  </si>
  <si>
    <t>D&amp;L Supply</t>
  </si>
  <si>
    <t>Operations</t>
  </si>
  <si>
    <t xml:space="preserve">Gains/Interest/losses - New Covenant  </t>
  </si>
  <si>
    <t>Change in Life Interest</t>
  </si>
  <si>
    <t xml:space="preserve">               28010 Federal Taxes (941/944)</t>
  </si>
  <si>
    <t xml:space="preserve">               28020 NYS Income Tax</t>
  </si>
  <si>
    <t>John Dority</t>
  </si>
  <si>
    <t xml:space="preserve">         2102_W Program Director/Assistant Director</t>
  </si>
  <si>
    <t xml:space="preserve">         2214_W Registration &amp; Program Administration</t>
  </si>
  <si>
    <t xml:space="preserve">           2621_W Lawn Mowing</t>
  </si>
  <si>
    <t xml:space="preserve">           2622_W Maintenance</t>
  </si>
  <si>
    <t xml:space="preserve">           2623_W Housekeeping</t>
  </si>
  <si>
    <t xml:space="preserve">           2624_W Assistant Directro - Camper &amp; Counselor Care</t>
  </si>
  <si>
    <t xml:space="preserve">           2625_W Farm &amp; Garden Manager</t>
  </si>
  <si>
    <t xml:space="preserve">            6501_M - Other</t>
  </si>
  <si>
    <t xml:space="preserve">             6796 _O Travel Presbytery Mtgs</t>
  </si>
  <si>
    <t xml:space="preserve">               6054_O  Major Medical/Dental</t>
  </si>
  <si>
    <t xml:space="preserve"> Contractors</t>
  </si>
  <si>
    <t>Profit and Loss</t>
  </si>
  <si>
    <t xml:space="preserve">      7325_D In &amp; Out</t>
  </si>
  <si>
    <t xml:space="preserve">           9999 - Uncatergorized Exp</t>
  </si>
  <si>
    <t xml:space="preserve">           6251_O other</t>
  </si>
  <si>
    <t>Total 2117_W Camp Payroll Other</t>
  </si>
  <si>
    <t xml:space="preserve">          2526_W First Presbyterian </t>
  </si>
  <si>
    <t>Red Creek</t>
  </si>
  <si>
    <t xml:space="preserve">               6058_M travel Missions</t>
  </si>
  <si>
    <t xml:space="preserve">            6266_O Payroll taxes - Operations</t>
  </si>
  <si>
    <t xml:space="preserve">          6298_O FSA</t>
  </si>
  <si>
    <t xml:space="preserve">            6298_O FSA</t>
  </si>
  <si>
    <t xml:space="preserve">            27862 FSA</t>
  </si>
  <si>
    <t xml:space="preserve">            Payroll Corrections</t>
  </si>
  <si>
    <t xml:space="preserve">         3440.15 TR - Purpose Restrictions</t>
  </si>
  <si>
    <t xml:space="preserve">          1670_W Gift in Kind - Camp</t>
  </si>
  <si>
    <t xml:space="preserve">        2627_Hospitality Mananger</t>
  </si>
  <si>
    <t xml:space="preserve">            2156_W Nurse Malpractice Insurance</t>
  </si>
  <si>
    <t xml:space="preserve">          2728_W Gift in Kind Camp</t>
  </si>
  <si>
    <t xml:space="preserve"> Per Capita</t>
  </si>
  <si>
    <t xml:space="preserve">         305 Camp Whitman Scholarship Fund</t>
  </si>
  <si>
    <t xml:space="preserve">            New York Department of Taxation and Finance Payable</t>
  </si>
  <si>
    <t xml:space="preserve">      32000 Unrestricted Net Assets</t>
  </si>
  <si>
    <t>Prior Year adjustment - Camp</t>
  </si>
  <si>
    <t xml:space="preserve">         2060_W Kitchen Staff</t>
  </si>
  <si>
    <t xml:space="preserve">         2625_W Farm &amp; Gardner</t>
  </si>
  <si>
    <t xml:space="preserve">        2102_W  Program Director/Creative Week Director</t>
  </si>
  <si>
    <t xml:space="preserve">            2728_W GIK Camp</t>
  </si>
  <si>
    <t xml:space="preserve">      555 Property Dissolution of Church</t>
  </si>
  <si>
    <t xml:space="preserve">  undistributed income Ops</t>
  </si>
  <si>
    <t xml:space="preserve">            4512_O  Undistributed Income</t>
  </si>
  <si>
    <t xml:space="preserve">      800 Opening Bal Equity</t>
  </si>
  <si>
    <t xml:space="preserve">         2214_W Camp - Registration Coordinator</t>
  </si>
  <si>
    <t xml:space="preserve">           2237_W Mileage</t>
  </si>
  <si>
    <t xml:space="preserve">     Undistributed Income</t>
  </si>
  <si>
    <t>Net Investment Activity camp</t>
  </si>
  <si>
    <t>Net Investment Activity Ops</t>
  </si>
  <si>
    <t xml:space="preserve">Prior YR Adj </t>
  </si>
  <si>
    <t xml:space="preserve">         12500 Start Up Cash</t>
  </si>
  <si>
    <t>Paid 2024</t>
  </si>
  <si>
    <t>2024  PER CAPITA &amp; MISSION</t>
  </si>
  <si>
    <t xml:space="preserve">              6154_O  - Presbytery Leader Formation </t>
  </si>
  <si>
    <t xml:space="preserve">Budget Overview: Camp 2024 Budget - FY23 P&amp;L </t>
  </si>
  <si>
    <t xml:space="preserve">          1665_W - Interest/Dividends - Investments</t>
  </si>
  <si>
    <t xml:space="preserve">             6669_O Reimbursements Staff</t>
  </si>
  <si>
    <t>East Palmyra</t>
  </si>
  <si>
    <t xml:space="preserve">       2129_W  NYS DBL</t>
  </si>
  <si>
    <t xml:space="preserve">            2662_W Major Medical</t>
  </si>
  <si>
    <t xml:space="preserve">         2778_W Uncatorgorized Camp Expenses</t>
  </si>
  <si>
    <t xml:space="preserve">Budget Overview: Operating &amp; Mission 2024 - FY24 P&amp;L </t>
  </si>
  <si>
    <t>Presbytery of Geneva - 2024</t>
  </si>
  <si>
    <t>2023
Budget</t>
  </si>
  <si>
    <t>2023
Jan 2023</t>
  </si>
  <si>
    <t xml:space="preserve">  Uncatorgized Expenses</t>
  </si>
  <si>
    <t>January - February, 2024</t>
  </si>
  <si>
    <t xml:space="preserve">      1700_W Undistributed Income - Camp</t>
  </si>
  <si>
    <t xml:space="preserve">         2126_W Other/Outside Contractors</t>
  </si>
  <si>
    <t xml:space="preserve">            2628_W First Presbyterian</t>
  </si>
  <si>
    <t xml:space="preserve">         Total 2126_W Other/Outside Contractors</t>
  </si>
  <si>
    <t xml:space="preserve">         2099_W Uncategorized Expense - Camp</t>
  </si>
  <si>
    <t xml:space="preserve">            2237_W Mileage</t>
  </si>
  <si>
    <t xml:space="preserve">               6056_O Board of Pensions/Medical</t>
  </si>
  <si>
    <t xml:space="preserve">               6154_O Presby Leader Formation Course</t>
  </si>
  <si>
    <t>Jan - Feb 2024</t>
  </si>
  <si>
    <t xml:space="preserve">        Uncatorgize Camp Expenses</t>
  </si>
  <si>
    <t xml:space="preserve">            4404_O Other - including Synod</t>
  </si>
  <si>
    <t>Other Expenses</t>
  </si>
  <si>
    <t xml:space="preserve">   8000 DEDICATED EXPENSES</t>
  </si>
  <si>
    <t xml:space="preserve">      8175_D In &amp; Out</t>
  </si>
  <si>
    <t xml:space="preserve">   Total 8000 DEDICATED EXPENSES</t>
  </si>
  <si>
    <t>Total Other Expenses</t>
  </si>
  <si>
    <t>Friday, Mar 08, 2024 12:28:26 PM GMT-8 - Accrual Basis</t>
  </si>
  <si>
    <t>As of February 29, 2024</t>
  </si>
  <si>
    <t>As of Feb 29, 2024</t>
  </si>
  <si>
    <t>As of Feb 28, 2023 (PY)</t>
  </si>
  <si>
    <t>Friday, Mar 08, 2024 01:42:59 PM GMT-8 - Accrual Basis</t>
  </si>
  <si>
    <t xml:space="preserve">       Payroll Corrections</t>
  </si>
  <si>
    <t xml:space="preserve">        misc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</si>
</sst>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\-yy;@"/>
    <numFmt numFmtId="166" formatCode="#,##0.00\ _€"/>
    <numFmt numFmtId="167" formatCode="&quot;$&quot;* #,##0.00\ _€"/>
    <numFmt numFmtId="168" formatCode="mm/dd/yy;@"/>
  </numFmts>
  <fonts count="4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rgb="FFFF0000"/>
      <name val="Arial"/>
      <family val="2"/>
    </font>
    <font>
      <sz val="8"/>
      <color indexed="8"/>
      <name val="Arial"/>
      <family val="2"/>
    </font>
    <font>
      <b/>
      <sz val="8"/>
      <color theme="1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0" fontId="6" fillId="0" borderId="0"/>
    <xf numFmtId="0" fontId="7" fillId="0" borderId="0"/>
    <xf numFmtId="44" fontId="13" fillId="0" borderId="0" applyFont="0" applyFill="0" applyBorder="0" applyAlignment="0" applyProtection="0"/>
    <xf numFmtId="0" fontId="21" fillId="0" borderId="0"/>
  </cellStyleXfs>
  <cellXfs count="275">
    <xf numFmtId="0" fontId="0" fillId="0" borderId="0" xfId="0"/>
    <xf numFmtId="17" fontId="8" fillId="0" borderId="0" xfId="3" applyNumberFormat="1" applyFont="1" applyAlignment="1">
      <alignment horizontal="center" vertical="top"/>
    </xf>
    <xf numFmtId="8" fontId="9" fillId="0" borderId="35" xfId="3" applyNumberFormat="1" applyFont="1" applyBorder="1" applyAlignment="1">
      <alignment horizontal="center" wrapText="1"/>
    </xf>
    <xf numFmtId="0" fontId="10" fillId="0" borderId="0" xfId="3" applyFont="1" applyAlignment="1">
      <alignment horizontal="center"/>
    </xf>
    <xf numFmtId="8" fontId="10" fillId="0" borderId="36" xfId="3" applyNumberFormat="1" applyFont="1" applyBorder="1" applyAlignment="1">
      <alignment horizontal="right"/>
    </xf>
    <xf numFmtId="0" fontId="9" fillId="0" borderId="40" xfId="3" applyFont="1" applyBorder="1"/>
    <xf numFmtId="8" fontId="9" fillId="0" borderId="41" xfId="3" applyNumberFormat="1" applyFont="1" applyBorder="1" applyAlignment="1">
      <alignment horizontal="right"/>
    </xf>
    <xf numFmtId="0" fontId="11" fillId="0" borderId="0" xfId="3" applyFont="1" applyAlignment="1">
      <alignment horizontal="left" indent="2"/>
    </xf>
    <xf numFmtId="0" fontId="9" fillId="0" borderId="12" xfId="0" applyFont="1" applyBorder="1" applyAlignment="1">
      <alignment horizontal="left"/>
    </xf>
    <xf numFmtId="8" fontId="9" fillId="0" borderId="36" xfId="0" applyNumberFormat="1" applyFont="1" applyBorder="1" applyAlignment="1">
      <alignment horizontal="right"/>
    </xf>
    <xf numFmtId="0" fontId="9" fillId="0" borderId="12" xfId="3" applyFont="1" applyBorder="1" applyAlignment="1">
      <alignment horizontal="left"/>
    </xf>
    <xf numFmtId="8" fontId="9" fillId="0" borderId="36" xfId="3" applyNumberFormat="1" applyFont="1" applyBorder="1" applyAlignment="1">
      <alignment horizontal="right"/>
    </xf>
    <xf numFmtId="0" fontId="9" fillId="0" borderId="0" xfId="3" applyFont="1" applyAlignment="1">
      <alignment horizontal="left"/>
    </xf>
    <xf numFmtId="8" fontId="9" fillId="0" borderId="0" xfId="3" applyNumberFormat="1" applyFont="1" applyAlignment="1">
      <alignment horizontal="right"/>
    </xf>
    <xf numFmtId="4" fontId="0" fillId="0" borderId="0" xfId="0" applyNumberFormat="1"/>
    <xf numFmtId="7" fontId="0" fillId="0" borderId="15" xfId="4" applyNumberFormat="1" applyFont="1" applyFill="1" applyBorder="1"/>
    <xf numFmtId="7" fontId="13" fillId="0" borderId="15" xfId="4" applyNumberFormat="1" applyFont="1" applyFill="1" applyBorder="1"/>
    <xf numFmtId="7" fontId="14" fillId="0" borderId="15" xfId="4" applyNumberFormat="1" applyFont="1" applyFill="1" applyBorder="1"/>
    <xf numFmtId="166" fontId="19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left" wrapText="1"/>
    </xf>
    <xf numFmtId="166" fontId="19" fillId="0" borderId="0" xfId="0" applyNumberFormat="1" applyFont="1" applyAlignment="1">
      <alignment wrapText="1"/>
    </xf>
    <xf numFmtId="167" fontId="18" fillId="0" borderId="14" xfId="0" applyNumberFormat="1" applyFont="1" applyBorder="1" applyAlignment="1">
      <alignment horizontal="right" wrapText="1"/>
    </xf>
    <xf numFmtId="0" fontId="15" fillId="0" borderId="34" xfId="0" applyFont="1" applyBorder="1" applyAlignment="1">
      <alignment horizontal="center" wrapText="1"/>
    </xf>
    <xf numFmtId="0" fontId="0" fillId="0" borderId="0" xfId="0" applyAlignment="1">
      <alignment wrapText="1"/>
    </xf>
    <xf numFmtId="4" fontId="19" fillId="0" borderId="0" xfId="0" applyNumberFormat="1" applyFont="1" applyAlignment="1">
      <alignment wrapText="1"/>
    </xf>
    <xf numFmtId="4" fontId="0" fillId="0" borderId="34" xfId="0" applyNumberFormat="1" applyBorder="1"/>
    <xf numFmtId="0" fontId="0" fillId="3" borderId="0" xfId="0" applyFill="1"/>
    <xf numFmtId="4" fontId="19" fillId="0" borderId="0" xfId="0" applyNumberFormat="1" applyFont="1" applyAlignment="1">
      <alignment horizontal="right" wrapText="1"/>
    </xf>
    <xf numFmtId="166" fontId="18" fillId="0" borderId="0" xfId="0" applyNumberFormat="1" applyFont="1" applyAlignment="1">
      <alignment horizontal="right" wrapText="1"/>
    </xf>
    <xf numFmtId="167" fontId="18" fillId="0" borderId="0" xfId="0" applyNumberFormat="1" applyFont="1" applyAlignment="1">
      <alignment horizontal="right" wrapText="1"/>
    </xf>
    <xf numFmtId="166" fontId="22" fillId="0" borderId="0" xfId="0" applyNumberFormat="1" applyFont="1" applyAlignment="1">
      <alignment horizontal="right" wrapText="1"/>
    </xf>
    <xf numFmtId="7" fontId="13" fillId="0" borderId="28" xfId="4" applyNumberFormat="1" applyFont="1" applyFill="1" applyBorder="1"/>
    <xf numFmtId="7" fontId="13" fillId="0" borderId="0" xfId="4" applyNumberFormat="1" applyFont="1" applyFill="1" applyBorder="1"/>
    <xf numFmtId="166" fontId="0" fillId="0" borderId="0" xfId="0" applyNumberFormat="1"/>
    <xf numFmtId="166" fontId="18" fillId="0" borderId="0" xfId="0" applyNumberFormat="1" applyFont="1" applyAlignment="1">
      <alignment wrapText="1"/>
    </xf>
    <xf numFmtId="0" fontId="23" fillId="0" borderId="0" xfId="0" applyFont="1" applyAlignment="1">
      <alignment horizontal="left" wrapText="1"/>
    </xf>
    <xf numFmtId="0" fontId="24" fillId="0" borderId="15" xfId="0" applyFont="1" applyBorder="1" applyAlignment="1">
      <alignment wrapText="1"/>
    </xf>
    <xf numFmtId="166" fontId="27" fillId="0" borderId="0" xfId="0" applyNumberFormat="1" applyFont="1" applyAlignment="1">
      <alignment horizontal="right" wrapText="1"/>
    </xf>
    <xf numFmtId="0" fontId="28" fillId="0" borderId="0" xfId="0" applyFont="1" applyAlignment="1">
      <alignment horizontal="left" wrapText="1"/>
    </xf>
    <xf numFmtId="166" fontId="29" fillId="0" borderId="0" xfId="0" applyNumberFormat="1" applyFont="1" applyAlignment="1">
      <alignment horizontal="right" wrapText="1"/>
    </xf>
    <xf numFmtId="167" fontId="18" fillId="2" borderId="14" xfId="0" applyNumberFormat="1" applyFont="1" applyFill="1" applyBorder="1" applyAlignment="1">
      <alignment horizontal="right" wrapText="1"/>
    </xf>
    <xf numFmtId="166" fontId="30" fillId="0" borderId="0" xfId="0" applyNumberFormat="1" applyFont="1" applyAlignment="1">
      <alignment horizontal="right" wrapText="1"/>
    </xf>
    <xf numFmtId="0" fontId="9" fillId="0" borderId="0" xfId="3" applyFont="1"/>
    <xf numFmtId="0" fontId="31" fillId="0" borderId="0" xfId="0" applyFont="1"/>
    <xf numFmtId="0" fontId="11" fillId="0" borderId="0" xfId="3" applyFont="1"/>
    <xf numFmtId="8" fontId="11" fillId="0" borderId="36" xfId="3" applyNumberFormat="1" applyFont="1" applyBorder="1" applyAlignment="1">
      <alignment horizontal="right"/>
    </xf>
    <xf numFmtId="8" fontId="11" fillId="2" borderId="36" xfId="3" applyNumberFormat="1" applyFont="1" applyFill="1" applyBorder="1" applyAlignment="1">
      <alignment horizontal="right"/>
    </xf>
    <xf numFmtId="167" fontId="32" fillId="0" borderId="14" xfId="0" applyNumberFormat="1" applyFont="1" applyBorder="1" applyAlignment="1">
      <alignment horizontal="right" wrapText="1"/>
    </xf>
    <xf numFmtId="0" fontId="9" fillId="0" borderId="0" xfId="3" applyFont="1" applyAlignment="1">
      <alignment horizontal="left" indent="2"/>
    </xf>
    <xf numFmtId="0" fontId="11" fillId="0" borderId="0" xfId="3" applyFont="1" applyAlignment="1">
      <alignment horizontal="left" indent="3"/>
    </xf>
    <xf numFmtId="8" fontId="11" fillId="0" borderId="39" xfId="3" applyNumberFormat="1" applyFont="1" applyBorder="1" applyAlignment="1">
      <alignment horizontal="right"/>
    </xf>
    <xf numFmtId="8" fontId="11" fillId="0" borderId="46" xfId="3" applyNumberFormat="1" applyFont="1" applyBorder="1" applyAlignment="1">
      <alignment horizontal="right"/>
    </xf>
    <xf numFmtId="0" fontId="9" fillId="0" borderId="0" xfId="3" applyFont="1" applyAlignment="1">
      <alignment horizontal="left" indent="4"/>
    </xf>
    <xf numFmtId="8" fontId="9" fillId="0" borderId="38" xfId="3" applyNumberFormat="1" applyFont="1" applyBorder="1" applyAlignment="1">
      <alignment horizontal="right"/>
    </xf>
    <xf numFmtId="167" fontId="11" fillId="0" borderId="36" xfId="3" applyNumberFormat="1" applyFont="1" applyBorder="1" applyAlignment="1">
      <alignment horizontal="right"/>
    </xf>
    <xf numFmtId="0" fontId="11" fillId="0" borderId="0" xfId="3" applyFont="1" applyAlignment="1">
      <alignment horizontal="left" wrapText="1" indent="3"/>
    </xf>
    <xf numFmtId="0" fontId="33" fillId="0" borderId="0" xfId="0" applyFont="1" applyAlignment="1">
      <alignment horizontal="center"/>
    </xf>
    <xf numFmtId="8" fontId="34" fillId="0" borderId="36" xfId="3" applyNumberFormat="1" applyFont="1" applyBorder="1" applyAlignment="1">
      <alignment horizontal="right"/>
    </xf>
    <xf numFmtId="8" fontId="11" fillId="0" borderId="37" xfId="3" applyNumberFormat="1" applyFont="1" applyBorder="1" applyAlignment="1">
      <alignment horizontal="right"/>
    </xf>
    <xf numFmtId="8" fontId="11" fillId="0" borderId="0" xfId="3" applyNumberFormat="1" applyFont="1" applyAlignment="1">
      <alignment horizontal="right"/>
    </xf>
    <xf numFmtId="8" fontId="11" fillId="0" borderId="12" xfId="3" applyNumberFormat="1" applyFont="1" applyBorder="1" applyAlignment="1">
      <alignment horizontal="right"/>
    </xf>
    <xf numFmtId="0" fontId="9" fillId="0" borderId="12" xfId="3" applyFont="1" applyBorder="1" applyAlignment="1">
      <alignment horizontal="left" indent="4"/>
    </xf>
    <xf numFmtId="0" fontId="9" fillId="0" borderId="0" xfId="3" applyFont="1" applyAlignment="1">
      <alignment horizontal="center"/>
    </xf>
    <xf numFmtId="164" fontId="31" fillId="0" borderId="0" xfId="0" applyNumberFormat="1" applyFont="1"/>
    <xf numFmtId="164" fontId="11" fillId="0" borderId="36" xfId="3" applyNumberFormat="1" applyFont="1" applyBorder="1" applyAlignment="1">
      <alignment horizontal="right"/>
    </xf>
    <xf numFmtId="0" fontId="34" fillId="0" borderId="0" xfId="3" applyFont="1" applyAlignment="1">
      <alignment horizontal="left" indent="2"/>
    </xf>
    <xf numFmtId="164" fontId="34" fillId="0" borderId="36" xfId="3" applyNumberFormat="1" applyFont="1" applyBorder="1" applyAlignment="1">
      <alignment horizontal="right"/>
    </xf>
    <xf numFmtId="49" fontId="35" fillId="0" borderId="0" xfId="3" applyNumberFormat="1" applyFont="1" applyAlignment="1">
      <alignment horizontal="left" indent="2"/>
    </xf>
    <xf numFmtId="8" fontId="9" fillId="0" borderId="0" xfId="3" applyNumberFormat="1" applyFont="1"/>
    <xf numFmtId="0" fontId="9" fillId="0" borderId="0" xfId="3" applyFont="1" applyAlignment="1">
      <alignment horizontal="center" wrapText="1"/>
    </xf>
    <xf numFmtId="8" fontId="9" fillId="2" borderId="0" xfId="3" applyNumberFormat="1" applyFont="1" applyFill="1"/>
    <xf numFmtId="0" fontId="31" fillId="0" borderId="34" xfId="0" applyFont="1" applyBorder="1"/>
    <xf numFmtId="38" fontId="11" fillId="0" borderId="0" xfId="3" applyNumberFormat="1" applyFont="1"/>
    <xf numFmtId="0" fontId="11" fillId="0" borderId="14" xfId="3" applyFont="1" applyBorder="1"/>
    <xf numFmtId="8" fontId="11" fillId="0" borderId="14" xfId="3" applyNumberFormat="1" applyFont="1" applyBorder="1"/>
    <xf numFmtId="8" fontId="11" fillId="0" borderId="0" xfId="1" applyNumberFormat="1" applyFont="1" applyBorder="1"/>
    <xf numFmtId="0" fontId="11" fillId="0" borderId="34" xfId="3" applyFont="1" applyBorder="1"/>
    <xf numFmtId="8" fontId="11" fillId="0" borderId="34" xfId="1" applyNumberFormat="1" applyFont="1" applyBorder="1"/>
    <xf numFmtId="8" fontId="11" fillId="0" borderId="0" xfId="3" applyNumberFormat="1" applyFont="1"/>
    <xf numFmtId="0" fontId="15" fillId="0" borderId="0" xfId="0" applyFont="1" applyAlignment="1">
      <alignment horizontal="center" wrapText="1"/>
    </xf>
    <xf numFmtId="0" fontId="9" fillId="0" borderId="35" xfId="3" applyFont="1" applyBorder="1" applyAlignment="1">
      <alignment horizontal="center" wrapText="1"/>
    </xf>
    <xf numFmtId="166" fontId="37" fillId="0" borderId="0" xfId="0" applyNumberFormat="1" applyFont="1" applyAlignment="1">
      <alignment horizontal="right" wrapText="1"/>
    </xf>
    <xf numFmtId="8" fontId="7" fillId="0" borderId="36" xfId="3" applyNumberFormat="1" applyBorder="1" applyAlignment="1">
      <alignment horizontal="right"/>
    </xf>
    <xf numFmtId="164" fontId="38" fillId="0" borderId="36" xfId="3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right" wrapText="1"/>
    </xf>
    <xf numFmtId="0" fontId="18" fillId="4" borderId="0" xfId="0" applyFont="1" applyFill="1" applyAlignment="1">
      <alignment horizontal="left" wrapText="1"/>
    </xf>
    <xf numFmtId="167" fontId="18" fillId="4" borderId="14" xfId="0" applyNumberFormat="1" applyFont="1" applyFill="1" applyBorder="1" applyAlignment="1">
      <alignment horizontal="right" wrapText="1"/>
    </xf>
    <xf numFmtId="0" fontId="0" fillId="4" borderId="0" xfId="0" applyFill="1"/>
    <xf numFmtId="166" fontId="19" fillId="4" borderId="0" xfId="0" applyNumberFormat="1" applyFont="1" applyFill="1" applyAlignment="1">
      <alignment horizontal="right" wrapText="1"/>
    </xf>
    <xf numFmtId="4" fontId="14" fillId="0" borderId="0" xfId="0" applyNumberFormat="1" applyFont="1"/>
    <xf numFmtId="8" fontId="0" fillId="0" borderId="0" xfId="0" applyNumberFormat="1"/>
    <xf numFmtId="8" fontId="38" fillId="0" borderId="36" xfId="3" applyNumberFormat="1" applyFont="1" applyBorder="1" applyAlignment="1">
      <alignment horizontal="right"/>
    </xf>
    <xf numFmtId="8" fontId="7" fillId="0" borderId="37" xfId="3" applyNumberFormat="1" applyBorder="1" applyAlignment="1">
      <alignment horizontal="right"/>
    </xf>
    <xf numFmtId="166" fontId="39" fillId="0" borderId="0" xfId="0" applyNumberFormat="1" applyFont="1" applyAlignment="1">
      <alignment horizontal="right" wrapText="1"/>
    </xf>
    <xf numFmtId="4" fontId="40" fillId="0" borderId="0" xfId="0" applyNumberFormat="1" applyFont="1"/>
    <xf numFmtId="0" fontId="0" fillId="0" borderId="0" xfId="0" applyAlignment="1">
      <alignment horizontal="center"/>
    </xf>
    <xf numFmtId="4" fontId="32" fillId="0" borderId="14" xfId="0" applyNumberFormat="1" applyFont="1" applyBorder="1" applyAlignment="1">
      <alignment horizontal="right" wrapText="1"/>
    </xf>
    <xf numFmtId="4" fontId="41" fillId="3" borderId="45" xfId="0" applyNumberFormat="1" applyFont="1" applyFill="1" applyBorder="1"/>
    <xf numFmtId="167" fontId="42" fillId="0" borderId="14" xfId="0" applyNumberFormat="1" applyFont="1" applyBorder="1" applyAlignment="1">
      <alignment horizontal="right" wrapText="1"/>
    </xf>
    <xf numFmtId="167" fontId="9" fillId="0" borderId="38" xfId="3" applyNumberFormat="1" applyFont="1" applyBorder="1" applyAlignment="1">
      <alignment horizontal="right"/>
    </xf>
    <xf numFmtId="166" fontId="43" fillId="0" borderId="0" xfId="0" applyNumberFormat="1" applyFont="1" applyAlignment="1">
      <alignment horizontal="right" wrapText="1"/>
    </xf>
    <xf numFmtId="4" fontId="31" fillId="0" borderId="0" xfId="0" applyNumberFormat="1" applyFont="1"/>
    <xf numFmtId="8" fontId="31" fillId="0" borderId="0" xfId="0" applyNumberFormat="1" applyFont="1"/>
    <xf numFmtId="167" fontId="0" fillId="0" borderId="0" xfId="0" applyNumberFormat="1"/>
    <xf numFmtId="0" fontId="1" fillId="0" borderId="0" xfId="0" applyFont="1"/>
    <xf numFmtId="0" fontId="3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left" indent="1"/>
    </xf>
    <xf numFmtId="0" fontId="4" fillId="0" borderId="1" xfId="0" applyFon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14" fillId="0" borderId="0" xfId="0" applyFont="1"/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4" fontId="14" fillId="0" borderId="13" xfId="0" applyNumberFormat="1" applyFont="1" applyBorder="1" applyAlignment="1">
      <alignment horizontal="center"/>
    </xf>
    <xf numFmtId="0" fontId="6" fillId="0" borderId="15" xfId="0" applyFont="1" applyBorder="1"/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4" xfId="0" applyBorder="1" applyAlignment="1">
      <alignment horizontal="center"/>
    </xf>
    <xf numFmtId="14" fontId="14" fillId="0" borderId="0" xfId="0" applyNumberFormat="1" applyFont="1" applyAlignment="1">
      <alignment horizontal="center"/>
    </xf>
    <xf numFmtId="0" fontId="14" fillId="0" borderId="15" xfId="0" applyFont="1" applyBorder="1" applyAlignment="1">
      <alignment horizontal="center"/>
    </xf>
    <xf numFmtId="168" fontId="14" fillId="0" borderId="0" xfId="0" applyNumberFormat="1" applyFont="1" applyAlignment="1">
      <alignment horizontal="center"/>
    </xf>
    <xf numFmtId="0" fontId="5" fillId="0" borderId="16" xfId="0" applyFont="1" applyBorder="1"/>
    <xf numFmtId="0" fontId="5" fillId="0" borderId="17" xfId="0" applyFont="1" applyBorder="1" applyAlignment="1">
      <alignment horizontal="left" indent="1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14" fillId="0" borderId="19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2" fontId="14" fillId="0" borderId="0" xfId="0" applyNumberFormat="1" applyFont="1" applyAlignment="1">
      <alignment horizontal="center" wrapText="1"/>
    </xf>
    <xf numFmtId="0" fontId="0" fillId="0" borderId="20" xfId="0" applyBorder="1"/>
    <xf numFmtId="0" fontId="0" fillId="0" borderId="21" xfId="0" applyBorder="1" applyAlignment="1">
      <alignment horizontal="left" indent="1"/>
    </xf>
    <xf numFmtId="0" fontId="0" fillId="0" borderId="15" xfId="0" applyBorder="1"/>
    <xf numFmtId="164" fontId="0" fillId="0" borderId="20" xfId="0" applyNumberFormat="1" applyBorder="1"/>
    <xf numFmtId="164" fontId="0" fillId="0" borderId="22" xfId="0" applyNumberFormat="1" applyBorder="1"/>
    <xf numFmtId="164" fontId="0" fillId="0" borderId="21" xfId="0" applyNumberFormat="1" applyBorder="1"/>
    <xf numFmtId="164" fontId="0" fillId="0" borderId="34" xfId="0" applyNumberFormat="1" applyBorder="1"/>
    <xf numFmtId="4" fontId="0" fillId="0" borderId="22" xfId="0" applyNumberFormat="1" applyBorder="1"/>
    <xf numFmtId="164" fontId="0" fillId="0" borderId="0" xfId="0" applyNumberFormat="1"/>
    <xf numFmtId="4" fontId="0" fillId="0" borderId="23" xfId="0" applyNumberFormat="1" applyBorder="1"/>
    <xf numFmtId="4" fontId="14" fillId="0" borderId="15" xfId="0" applyNumberFormat="1" applyFont="1" applyBorder="1"/>
    <xf numFmtId="0" fontId="0" fillId="0" borderId="24" xfId="0" applyBorder="1"/>
    <xf numFmtId="0" fontId="0" fillId="0" borderId="25" xfId="0" applyBorder="1" applyAlignment="1">
      <alignment horizontal="left" indent="1"/>
    </xf>
    <xf numFmtId="164" fontId="0" fillId="0" borderId="24" xfId="0" applyNumberFormat="1" applyBorder="1"/>
    <xf numFmtId="164" fontId="0" fillId="0" borderId="15" xfId="0" applyNumberFormat="1" applyBorder="1"/>
    <xf numFmtId="164" fontId="0" fillId="0" borderId="25" xfId="0" applyNumberFormat="1" applyBorder="1"/>
    <xf numFmtId="164" fontId="0" fillId="0" borderId="43" xfId="0" applyNumberFormat="1" applyBorder="1"/>
    <xf numFmtId="4" fontId="0" fillId="0" borderId="15" xfId="0" applyNumberFormat="1" applyBorder="1"/>
    <xf numFmtId="0" fontId="14" fillId="0" borderId="24" xfId="0" applyFont="1" applyBorder="1"/>
    <xf numFmtId="0" fontId="14" fillId="0" borderId="25" xfId="0" applyFont="1" applyBorder="1" applyAlignment="1">
      <alignment horizontal="left" indent="1"/>
    </xf>
    <xf numFmtId="0" fontId="14" fillId="0" borderId="15" xfId="0" applyFont="1" applyBorder="1"/>
    <xf numFmtId="164" fontId="14" fillId="0" borderId="24" xfId="0" applyNumberFormat="1" applyFont="1" applyBorder="1"/>
    <xf numFmtId="164" fontId="14" fillId="0" borderId="15" xfId="0" applyNumberFormat="1" applyFont="1" applyBorder="1"/>
    <xf numFmtId="164" fontId="14" fillId="0" borderId="25" xfId="0" applyNumberFormat="1" applyFont="1" applyBorder="1"/>
    <xf numFmtId="164" fontId="14" fillId="0" borderId="43" xfId="0" applyNumberFormat="1" applyFont="1" applyBorder="1"/>
    <xf numFmtId="164" fontId="14" fillId="0" borderId="0" xfId="0" applyNumberFormat="1" applyFont="1"/>
    <xf numFmtId="4" fontId="14" fillId="0" borderId="23" xfId="0" applyNumberFormat="1" applyFont="1" applyBorder="1"/>
    <xf numFmtId="166" fontId="36" fillId="0" borderId="0" xfId="0" applyNumberFormat="1" applyFont="1" applyAlignment="1">
      <alignment horizontal="right" wrapText="1"/>
    </xf>
    <xf numFmtId="0" fontId="0" fillId="0" borderId="26" xfId="0" applyBorder="1"/>
    <xf numFmtId="0" fontId="0" fillId="0" borderId="27" xfId="0" applyBorder="1" applyAlignment="1">
      <alignment horizontal="left" indent="1"/>
    </xf>
    <xf numFmtId="0" fontId="0" fillId="0" borderId="26" xfId="0" applyBorder="1" applyAlignment="1">
      <alignment horizontal="right" indent="1"/>
    </xf>
    <xf numFmtId="164" fontId="0" fillId="0" borderId="26" xfId="0" applyNumberFormat="1" applyBorder="1"/>
    <xf numFmtId="164" fontId="0" fillId="0" borderId="27" xfId="0" applyNumberFormat="1" applyBorder="1"/>
    <xf numFmtId="164" fontId="0" fillId="0" borderId="14" xfId="0" applyNumberFormat="1" applyBorder="1"/>
    <xf numFmtId="4" fontId="0" fillId="0" borderId="28" xfId="0" applyNumberFormat="1" applyBorder="1"/>
    <xf numFmtId="0" fontId="0" fillId="0" borderId="14" xfId="0" applyBorder="1"/>
    <xf numFmtId="0" fontId="0" fillId="0" borderId="11" xfId="0" applyBorder="1" applyAlignment="1">
      <alignment horizontal="left" indent="1"/>
    </xf>
    <xf numFmtId="0" fontId="0" fillId="0" borderId="28" xfId="0" applyBorder="1"/>
    <xf numFmtId="0" fontId="0" fillId="0" borderId="27" xfId="0" applyBorder="1"/>
    <xf numFmtId="4" fontId="14" fillId="0" borderId="22" xfId="0" applyNumberFormat="1" applyFont="1" applyBorder="1"/>
    <xf numFmtId="0" fontId="6" fillId="0" borderId="29" xfId="0" applyFont="1" applyBorder="1"/>
    <xf numFmtId="0" fontId="6" fillId="0" borderId="30" xfId="0" applyFont="1" applyBorder="1" applyAlignment="1">
      <alignment horizontal="left" indent="1"/>
    </xf>
    <xf numFmtId="0" fontId="6" fillId="0" borderId="29" xfId="0" applyFont="1" applyBorder="1" applyAlignment="1">
      <alignment horizontal="right" indent="1"/>
    </xf>
    <xf numFmtId="8" fontId="6" fillId="0" borderId="32" xfId="0" applyNumberFormat="1" applyFont="1" applyBorder="1"/>
    <xf numFmtId="8" fontId="6" fillId="0" borderId="30" xfId="0" applyNumberFormat="1" applyFont="1" applyBorder="1"/>
    <xf numFmtId="8" fontId="6" fillId="0" borderId="2" xfId="0" applyNumberFormat="1" applyFont="1" applyBorder="1"/>
    <xf numFmtId="4" fontId="6" fillId="0" borderId="29" xfId="0" applyNumberFormat="1" applyFont="1" applyBorder="1" applyAlignment="1">
      <alignment horizontal="right"/>
    </xf>
    <xf numFmtId="4" fontId="6" fillId="0" borderId="32" xfId="0" applyNumberFormat="1" applyFont="1" applyBorder="1"/>
    <xf numFmtId="8" fontId="6" fillId="0" borderId="0" xfId="0" applyNumberFormat="1" applyFont="1"/>
    <xf numFmtId="4" fontId="6" fillId="0" borderId="31" xfId="0" applyNumberFormat="1" applyFont="1" applyBorder="1"/>
    <xf numFmtId="4" fontId="0" fillId="0" borderId="7" xfId="0" applyNumberFormat="1" applyBorder="1"/>
    <xf numFmtId="4" fontId="0" fillId="0" borderId="42" xfId="0" applyNumberFormat="1" applyBorder="1"/>
    <xf numFmtId="0" fontId="6" fillId="0" borderId="0" xfId="0" applyFont="1"/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right" indent="1"/>
    </xf>
    <xf numFmtId="4" fontId="6" fillId="0" borderId="0" xfId="0" applyNumberFormat="1" applyFont="1" applyAlignment="1">
      <alignment horizontal="right"/>
    </xf>
    <xf numFmtId="4" fontId="6" fillId="0" borderId="0" xfId="0" applyNumberFormat="1" applyFont="1"/>
    <xf numFmtId="4" fontId="20" fillId="0" borderId="0" xfId="0" applyNumberFormat="1" applyFont="1" applyAlignment="1">
      <alignment wrapText="1"/>
    </xf>
    <xf numFmtId="0" fontId="0" fillId="0" borderId="0" xfId="0" applyAlignment="1">
      <alignment horizontal="left" indent="1"/>
    </xf>
    <xf numFmtId="4" fontId="0" fillId="0" borderId="0" xfId="0" applyNumberFormat="1" applyAlignment="1">
      <alignment horizontal="right"/>
    </xf>
    <xf numFmtId="8" fontId="0" fillId="0" borderId="34" xfId="0" applyNumberFormat="1" applyBorder="1"/>
    <xf numFmtId="7" fontId="0" fillId="0" borderId="0" xfId="0" applyNumberFormat="1"/>
    <xf numFmtId="165" fontId="5" fillId="0" borderId="16" xfId="0" applyNumberFormat="1" applyFont="1" applyBorder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4" applyFont="1" applyFill="1" applyAlignment="1"/>
    <xf numFmtId="44" fontId="0" fillId="0" borderId="0" xfId="4" applyFont="1" applyFill="1" applyAlignment="1">
      <alignment horizontal="center"/>
    </xf>
    <xf numFmtId="44" fontId="0" fillId="0" borderId="0" xfId="4" applyFont="1" applyFill="1"/>
    <xf numFmtId="0" fontId="4" fillId="0" borderId="0" xfId="0" applyFont="1"/>
    <xf numFmtId="0" fontId="5" fillId="0" borderId="9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4" fontId="14" fillId="0" borderId="44" xfId="0" applyNumberFormat="1" applyFont="1" applyBorder="1" applyAlignment="1">
      <alignment horizontal="center"/>
    </xf>
    <xf numFmtId="4" fontId="14" fillId="0" borderId="42" xfId="0" applyNumberFormat="1" applyFont="1" applyBorder="1" applyAlignment="1">
      <alignment horizontal="center"/>
    </xf>
    <xf numFmtId="4" fontId="0" fillId="0" borderId="48" xfId="0" applyNumberFormat="1" applyBorder="1" applyAlignment="1">
      <alignment horizontal="right"/>
    </xf>
    <xf numFmtId="4" fontId="0" fillId="0" borderId="33" xfId="0" applyNumberFormat="1" applyBorder="1" applyAlignment="1">
      <alignment horizontal="right"/>
    </xf>
    <xf numFmtId="4" fontId="14" fillId="0" borderId="33" xfId="0" applyNumberFormat="1" applyFont="1" applyBorder="1" applyAlignment="1">
      <alignment horizontal="right"/>
    </xf>
    <xf numFmtId="4" fontId="0" fillId="0" borderId="49" xfId="0" applyNumberFormat="1" applyBorder="1" applyAlignment="1">
      <alignment horizontal="right"/>
    </xf>
    <xf numFmtId="4" fontId="0" fillId="0" borderId="15" xfId="0" applyNumberForma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0" fontId="0" fillId="4" borderId="24" xfId="0" applyFill="1" applyBorder="1"/>
    <xf numFmtId="0" fontId="0" fillId="4" borderId="25" xfId="0" applyFill="1" applyBorder="1" applyAlignment="1">
      <alignment horizontal="left" indent="1"/>
    </xf>
    <xf numFmtId="0" fontId="0" fillId="4" borderId="15" xfId="0" applyFill="1" applyBorder="1"/>
    <xf numFmtId="7" fontId="13" fillId="4" borderId="15" xfId="4" applyNumberFormat="1" applyFont="1" applyFill="1" applyBorder="1"/>
    <xf numFmtId="164" fontId="0" fillId="4" borderId="24" xfId="0" applyNumberFormat="1" applyFill="1" applyBorder="1"/>
    <xf numFmtId="164" fontId="0" fillId="4" borderId="15" xfId="0" applyNumberFormat="1" applyFill="1" applyBorder="1"/>
    <xf numFmtId="164" fontId="0" fillId="4" borderId="25" xfId="0" applyNumberFormat="1" applyFill="1" applyBorder="1"/>
    <xf numFmtId="164" fontId="0" fillId="4" borderId="43" xfId="0" applyNumberFormat="1" applyFill="1" applyBorder="1"/>
    <xf numFmtId="4" fontId="0" fillId="4" borderId="15" xfId="0" applyNumberFormat="1" applyFill="1" applyBorder="1" applyAlignment="1">
      <alignment horizontal="right"/>
    </xf>
    <xf numFmtId="4" fontId="0" fillId="4" borderId="33" xfId="0" applyNumberFormat="1" applyFill="1" applyBorder="1" applyAlignment="1">
      <alignment horizontal="right"/>
    </xf>
    <xf numFmtId="4" fontId="0" fillId="4" borderId="15" xfId="0" applyNumberFormat="1" applyFill="1" applyBorder="1"/>
    <xf numFmtId="164" fontId="0" fillId="4" borderId="0" xfId="0" applyNumberFormat="1" applyFill="1"/>
    <xf numFmtId="4" fontId="0" fillId="4" borderId="23" xfId="0" applyNumberFormat="1" applyFill="1" applyBorder="1"/>
    <xf numFmtId="4" fontId="0" fillId="4" borderId="0" xfId="0" applyNumberFormat="1" applyFill="1"/>
    <xf numFmtId="4" fontId="14" fillId="4" borderId="15" xfId="0" applyNumberFormat="1" applyFont="1" applyFill="1" applyBorder="1"/>
    <xf numFmtId="0" fontId="0" fillId="4" borderId="0" xfId="0" applyFill="1" applyAlignment="1">
      <alignment horizontal="center"/>
    </xf>
    <xf numFmtId="44" fontId="0" fillId="4" borderId="0" xfId="4" applyFont="1" applyFill="1" applyAlignment="1"/>
    <xf numFmtId="44" fontId="0" fillId="4" borderId="0" xfId="4" applyFont="1" applyFill="1" applyAlignment="1">
      <alignment horizontal="center"/>
    </xf>
    <xf numFmtId="44" fontId="0" fillId="4" borderId="0" xfId="4" applyFont="1" applyFill="1"/>
    <xf numFmtId="4" fontId="41" fillId="0" borderId="0" xfId="0" applyNumberFormat="1" applyFont="1"/>
    <xf numFmtId="166" fontId="44" fillId="0" borderId="1" xfId="0" applyNumberFormat="1" applyFont="1" applyBorder="1" applyAlignment="1">
      <alignment wrapText="1"/>
    </xf>
    <xf numFmtId="167" fontId="44" fillId="4" borderId="14" xfId="0" applyNumberFormat="1" applyFont="1" applyFill="1" applyBorder="1" applyAlignment="1">
      <alignment horizontal="right" wrapText="1"/>
    </xf>
    <xf numFmtId="4" fontId="14" fillId="2" borderId="15" xfId="0" applyNumberFormat="1" applyFont="1" applyFill="1" applyBorder="1"/>
    <xf numFmtId="4" fontId="45" fillId="0" borderId="0" xfId="0" applyNumberFormat="1" applyFont="1"/>
    <xf numFmtId="0" fontId="18" fillId="0" borderId="34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166" fontId="46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center"/>
    </xf>
    <xf numFmtId="0" fontId="0" fillId="0" borderId="0" xfId="0"/>
    <xf numFmtId="0" fontId="17" fillId="0" borderId="0" xfId="0" applyFont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4" fontId="5" fillId="0" borderId="0" xfId="0" applyNumberFormat="1" applyFont="1" applyAlignment="1">
      <alignment horizontal="center" wrapText="1"/>
    </xf>
    <xf numFmtId="4" fontId="14" fillId="0" borderId="0" xfId="0" applyNumberFormat="1" applyFont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4" fontId="5" fillId="0" borderId="47" xfId="0" applyNumberFormat="1" applyFont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4" fontId="14" fillId="0" borderId="31" xfId="0" applyNumberFormat="1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6">
    <cellStyle name="Currency" xfId="4" builtinId="4"/>
    <cellStyle name="Currency 2" xfId="1" xr:uid="{00000000-0005-0000-0000-000001000000}"/>
    <cellStyle name="Normal" xfId="0" builtinId="0"/>
    <cellStyle name="Normal 2" xfId="3" xr:uid="{00000000-0005-0000-0000-000003000000}"/>
    <cellStyle name="Normal 3" xfId="2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B0E31-1908-4F0F-83CE-02FEB49C7493}">
  <dimension ref="A1:D153"/>
  <sheetViews>
    <sheetView workbookViewId="0">
      <pane ySplit="6" topLeftCell="A132" activePane="bottomLeft" state="frozen"/>
      <selection pane="bottomLeft" activeCell="B147" sqref="B147"/>
    </sheetView>
  </sheetViews>
  <sheetFormatPr baseColWidth="10" defaultColWidth="8.83203125" defaultRowHeight="15" x14ac:dyDescent="0.2"/>
  <cols>
    <col min="1" max="1" width="55" customWidth="1"/>
    <col min="2" max="2" width="12" customWidth="1"/>
    <col min="3" max="3" width="35.6640625" customWidth="1"/>
    <col min="4" max="4" width="12" customWidth="1"/>
  </cols>
  <sheetData>
    <row r="1" spans="1:4" ht="18" x14ac:dyDescent="0.2">
      <c r="A1" s="253" t="s">
        <v>67</v>
      </c>
      <c r="B1" s="254"/>
      <c r="C1" s="254"/>
      <c r="D1" s="254"/>
    </row>
    <row r="2" spans="1:4" ht="18" x14ac:dyDescent="0.2">
      <c r="A2" s="253" t="s">
        <v>414</v>
      </c>
      <c r="B2" s="254"/>
      <c r="C2" s="254"/>
      <c r="D2" s="254"/>
    </row>
    <row r="3" spans="1:4" x14ac:dyDescent="0.2">
      <c r="A3" s="255" t="s">
        <v>604</v>
      </c>
      <c r="B3" s="254"/>
      <c r="C3" s="254"/>
      <c r="D3" s="254"/>
    </row>
    <row r="5" spans="1:4" x14ac:dyDescent="0.2">
      <c r="A5" s="23"/>
      <c r="B5" s="256" t="s">
        <v>382</v>
      </c>
      <c r="C5" s="257"/>
      <c r="D5" s="258"/>
    </row>
    <row r="6" spans="1:4" ht="27" x14ac:dyDescent="0.2">
      <c r="A6" s="23"/>
      <c r="B6" s="22" t="s">
        <v>605</v>
      </c>
      <c r="C6" s="22"/>
      <c r="D6" s="22" t="s">
        <v>606</v>
      </c>
    </row>
    <row r="7" spans="1:4" x14ac:dyDescent="0.2">
      <c r="A7" s="23"/>
      <c r="B7" s="79"/>
      <c r="C7" s="79"/>
      <c r="D7" s="79"/>
    </row>
    <row r="8" spans="1:4" x14ac:dyDescent="0.2">
      <c r="A8" s="19" t="s">
        <v>99</v>
      </c>
      <c r="B8" s="20"/>
      <c r="C8" s="20"/>
      <c r="D8" s="20"/>
    </row>
    <row r="9" spans="1:4" x14ac:dyDescent="0.2">
      <c r="A9" s="19" t="s">
        <v>103</v>
      </c>
      <c r="B9" s="20"/>
      <c r="C9" s="20"/>
      <c r="D9" s="20"/>
    </row>
    <row r="10" spans="1:4" x14ac:dyDescent="0.2">
      <c r="A10" s="19" t="s">
        <v>104</v>
      </c>
      <c r="B10" s="20"/>
      <c r="C10" s="20"/>
      <c r="D10" s="20"/>
    </row>
    <row r="11" spans="1:4" x14ac:dyDescent="0.2">
      <c r="A11" s="19" t="s">
        <v>424</v>
      </c>
      <c r="B11" s="18">
        <f>88730.03</f>
        <v>88730.03</v>
      </c>
      <c r="C11" s="18"/>
      <c r="D11" s="18">
        <v>213048.12</v>
      </c>
    </row>
    <row r="12" spans="1:4" x14ac:dyDescent="0.2">
      <c r="A12" s="19" t="s">
        <v>451</v>
      </c>
      <c r="B12" s="18">
        <f>0</f>
        <v>0</v>
      </c>
      <c r="C12" s="18"/>
      <c r="D12" s="18">
        <f>0</f>
        <v>0</v>
      </c>
    </row>
    <row r="13" spans="1:4" x14ac:dyDescent="0.2">
      <c r="A13" s="19" t="s">
        <v>105</v>
      </c>
      <c r="B13" s="18">
        <f>77821.59</f>
        <v>77821.59</v>
      </c>
      <c r="C13" s="18"/>
      <c r="D13" s="18">
        <v>77805.990000000005</v>
      </c>
    </row>
    <row r="14" spans="1:4" x14ac:dyDescent="0.2">
      <c r="A14" s="19" t="s">
        <v>106</v>
      </c>
      <c r="B14" s="18">
        <f>0</f>
        <v>0</v>
      </c>
      <c r="C14" s="18"/>
      <c r="D14" s="18">
        <f>0</f>
        <v>0</v>
      </c>
    </row>
    <row r="15" spans="1:4" x14ac:dyDescent="0.2">
      <c r="A15" s="19" t="s">
        <v>425</v>
      </c>
      <c r="B15" s="18">
        <f>40470.32</f>
        <v>40470.32</v>
      </c>
      <c r="C15" s="18"/>
      <c r="D15" s="18">
        <v>110585.3</v>
      </c>
    </row>
    <row r="16" spans="1:4" x14ac:dyDescent="0.2">
      <c r="A16" s="19" t="s">
        <v>426</v>
      </c>
      <c r="B16" s="18">
        <f>109132.03</f>
        <v>109132.03</v>
      </c>
      <c r="C16" s="18"/>
      <c r="D16" s="18">
        <v>159105.29999999999</v>
      </c>
    </row>
    <row r="17" spans="1:4" x14ac:dyDescent="0.2">
      <c r="A17" s="19" t="s">
        <v>452</v>
      </c>
      <c r="B17" s="18">
        <f>0</f>
        <v>0</v>
      </c>
      <c r="C17" s="18"/>
      <c r="D17" s="18">
        <f>0</f>
        <v>0</v>
      </c>
    </row>
    <row r="18" spans="1:4" x14ac:dyDescent="0.2">
      <c r="A18" s="19" t="s">
        <v>453</v>
      </c>
      <c r="B18" s="18">
        <f>0</f>
        <v>0</v>
      </c>
      <c r="C18" s="18"/>
      <c r="D18" s="18">
        <f>0</f>
        <v>0</v>
      </c>
    </row>
    <row r="19" spans="1:4" x14ac:dyDescent="0.2">
      <c r="A19" s="19" t="s">
        <v>454</v>
      </c>
      <c r="B19" s="18">
        <f>0</f>
        <v>0</v>
      </c>
      <c r="C19" s="18"/>
      <c r="D19" s="18">
        <f>0</f>
        <v>0</v>
      </c>
    </row>
    <row r="20" spans="1:4" x14ac:dyDescent="0.2">
      <c r="A20" s="19" t="s">
        <v>609</v>
      </c>
      <c r="B20" s="18"/>
      <c r="C20" s="18"/>
      <c r="D20" s="18">
        <v>858.29</v>
      </c>
    </row>
    <row r="21" spans="1:4" x14ac:dyDescent="0.2">
      <c r="A21" s="19" t="s">
        <v>107</v>
      </c>
      <c r="B21" s="20"/>
      <c r="C21" s="20"/>
      <c r="D21" s="20"/>
    </row>
    <row r="22" spans="1:4" x14ac:dyDescent="0.2">
      <c r="A22" s="19" t="s">
        <v>108</v>
      </c>
      <c r="B22" s="18">
        <f>175.45</f>
        <v>175.45</v>
      </c>
      <c r="C22" s="18"/>
      <c r="D22" s="18">
        <v>20</v>
      </c>
    </row>
    <row r="23" spans="1:4" x14ac:dyDescent="0.2">
      <c r="A23" s="19" t="s">
        <v>109</v>
      </c>
      <c r="B23" s="21">
        <f>(B21)+(B22)</f>
        <v>175.45</v>
      </c>
      <c r="C23" s="21"/>
      <c r="D23" s="21">
        <f>(D21)+(D22)</f>
        <v>20</v>
      </c>
    </row>
    <row r="24" spans="1:4" x14ac:dyDescent="0.2">
      <c r="A24" s="19" t="s">
        <v>110</v>
      </c>
      <c r="B24" s="21">
        <f>(((((((((B11)+(B12))+(B13))+(B14))+(B15))+(B16))+(B17))+(B18))+(B19))+(B23)</f>
        <v>316329.42</v>
      </c>
      <c r="C24" s="21"/>
      <c r="D24" s="21">
        <f>(((((((((D11)+(D12))+(D13))+(D14))+(D15))+(D16))+(D17))+(D18))+(D19))+D20+(D23)</f>
        <v>561423</v>
      </c>
    </row>
    <row r="25" spans="1:4" x14ac:dyDescent="0.2">
      <c r="A25" s="19" t="s">
        <v>111</v>
      </c>
      <c r="B25" s="20"/>
      <c r="C25" s="20"/>
      <c r="D25" s="20"/>
    </row>
    <row r="26" spans="1:4" x14ac:dyDescent="0.2">
      <c r="A26" s="19" t="s">
        <v>112</v>
      </c>
      <c r="B26" s="18">
        <f>342448.66</f>
        <v>342448.66</v>
      </c>
      <c r="C26" s="18"/>
      <c r="D26" s="18">
        <v>351104.23</v>
      </c>
    </row>
    <row r="27" spans="1:4" x14ac:dyDescent="0.2">
      <c r="A27" s="19" t="s">
        <v>113</v>
      </c>
      <c r="B27" s="18">
        <f>-296908.5</f>
        <v>-296908.5</v>
      </c>
      <c r="C27" s="18"/>
      <c r="D27" s="18">
        <v>-322044</v>
      </c>
    </row>
    <row r="28" spans="1:4" x14ac:dyDescent="0.2">
      <c r="A28" s="19" t="s">
        <v>114</v>
      </c>
      <c r="B28" s="21">
        <f>(B26)+(B27)</f>
        <v>45540.159999999974</v>
      </c>
      <c r="C28" s="21"/>
      <c r="D28" s="21">
        <f>(D26)+(D27)</f>
        <v>29060.229999999981</v>
      </c>
    </row>
    <row r="29" spans="1:4" x14ac:dyDescent="0.2">
      <c r="A29" s="19" t="s">
        <v>115</v>
      </c>
      <c r="B29" s="20"/>
      <c r="C29" s="20"/>
      <c r="D29" s="20"/>
    </row>
    <row r="30" spans="1:4" x14ac:dyDescent="0.2">
      <c r="A30" s="19" t="s">
        <v>116</v>
      </c>
      <c r="B30" s="18">
        <f>19776.74</f>
        <v>19776.740000000002</v>
      </c>
      <c r="C30" s="18"/>
      <c r="D30" s="18"/>
    </row>
    <row r="31" spans="1:4" x14ac:dyDescent="0.2">
      <c r="A31" s="19" t="s">
        <v>570</v>
      </c>
      <c r="B31" s="18">
        <f>0</f>
        <v>0</v>
      </c>
      <c r="C31" s="18"/>
      <c r="D31" s="18">
        <f>0</f>
        <v>0</v>
      </c>
    </row>
    <row r="32" spans="1:4" x14ac:dyDescent="0.2">
      <c r="A32" s="19" t="s">
        <v>117</v>
      </c>
      <c r="B32" s="18">
        <f>2723.66</f>
        <v>2723.66</v>
      </c>
      <c r="C32" s="18"/>
      <c r="D32" s="18">
        <v>1455.6</v>
      </c>
    </row>
    <row r="33" spans="1:4" x14ac:dyDescent="0.2">
      <c r="A33" s="19" t="s">
        <v>608</v>
      </c>
      <c r="B33" s="18"/>
      <c r="C33" s="18"/>
      <c r="D33" s="18">
        <v>98.56</v>
      </c>
    </row>
    <row r="34" spans="1:4" x14ac:dyDescent="0.2">
      <c r="A34" s="19" t="s">
        <v>118</v>
      </c>
      <c r="B34" s="18">
        <f>0</f>
        <v>0</v>
      </c>
      <c r="C34" s="18"/>
      <c r="D34" s="18">
        <f>0</f>
        <v>0</v>
      </c>
    </row>
    <row r="35" spans="1:4" x14ac:dyDescent="0.2">
      <c r="A35" s="19" t="s">
        <v>119</v>
      </c>
      <c r="B35" s="21">
        <f>(((B30)+(B31))+(B32))+(B34)</f>
        <v>22500.400000000001</v>
      </c>
      <c r="C35" s="21"/>
      <c r="D35" s="21">
        <f>SUM(D31:D34)</f>
        <v>1554.1599999999999</v>
      </c>
    </row>
    <row r="36" spans="1:4" x14ac:dyDescent="0.2">
      <c r="A36" s="19" t="s">
        <v>120</v>
      </c>
      <c r="B36" s="21">
        <f>((B24)+(B28))+(B35)</f>
        <v>384369.98</v>
      </c>
      <c r="C36" s="21"/>
      <c r="D36" s="21">
        <f>((D24)+(D28))+(D35)</f>
        <v>592037.39</v>
      </c>
    </row>
    <row r="37" spans="1:4" x14ac:dyDescent="0.2">
      <c r="A37" s="19" t="s">
        <v>121</v>
      </c>
      <c r="B37" s="20"/>
      <c r="C37" s="20"/>
      <c r="D37" s="20"/>
    </row>
    <row r="38" spans="1:4" x14ac:dyDescent="0.2">
      <c r="A38" s="19" t="s">
        <v>122</v>
      </c>
      <c r="B38" s="20"/>
      <c r="C38" s="20"/>
      <c r="D38" s="20"/>
    </row>
    <row r="39" spans="1:4" x14ac:dyDescent="0.2">
      <c r="A39" s="19" t="s">
        <v>123</v>
      </c>
      <c r="B39" s="20"/>
      <c r="C39" s="20"/>
      <c r="D39" s="20"/>
    </row>
    <row r="40" spans="1:4" x14ac:dyDescent="0.2">
      <c r="A40" s="19" t="s">
        <v>124</v>
      </c>
      <c r="B40" s="18">
        <f>0</f>
        <v>0</v>
      </c>
      <c r="C40" s="18"/>
      <c r="D40" s="18">
        <f>0</f>
        <v>0</v>
      </c>
    </row>
    <row r="41" spans="1:4" x14ac:dyDescent="0.2">
      <c r="A41" s="19" t="s">
        <v>125</v>
      </c>
      <c r="B41" s="18">
        <f>0</f>
        <v>0</v>
      </c>
      <c r="C41" s="18"/>
      <c r="D41" s="18">
        <f>0</f>
        <v>0</v>
      </c>
    </row>
    <row r="42" spans="1:4" x14ac:dyDescent="0.2">
      <c r="A42" s="19" t="s">
        <v>126</v>
      </c>
      <c r="B42" s="18">
        <f>0</f>
        <v>0</v>
      </c>
      <c r="C42" s="18"/>
      <c r="D42" s="18">
        <f>0</f>
        <v>0</v>
      </c>
    </row>
    <row r="43" spans="1:4" x14ac:dyDescent="0.2">
      <c r="A43" s="19" t="s">
        <v>455</v>
      </c>
      <c r="B43" s="18">
        <f>0</f>
        <v>0</v>
      </c>
      <c r="C43" s="18"/>
      <c r="D43" s="18">
        <f>0</f>
        <v>0</v>
      </c>
    </row>
    <row r="44" spans="1:4" x14ac:dyDescent="0.2">
      <c r="A44" s="19" t="s">
        <v>127</v>
      </c>
      <c r="B44" s="21">
        <f>((((B39)+(B40))+(B41))+(B42))+(B43)</f>
        <v>0</v>
      </c>
      <c r="C44" s="21"/>
      <c r="D44" s="21">
        <f>((((D39)+(D40))+(D41))+(D42))+(D43)</f>
        <v>0</v>
      </c>
    </row>
    <row r="45" spans="1:4" x14ac:dyDescent="0.2">
      <c r="A45" s="19" t="s">
        <v>128</v>
      </c>
      <c r="B45" s="20"/>
      <c r="C45" s="20"/>
      <c r="D45" s="20"/>
    </row>
    <row r="46" spans="1:4" x14ac:dyDescent="0.2">
      <c r="A46" s="19" t="s">
        <v>129</v>
      </c>
      <c r="B46" s="18">
        <f>0</f>
        <v>0</v>
      </c>
      <c r="C46" s="18"/>
      <c r="D46" s="18">
        <f>0</f>
        <v>0</v>
      </c>
    </row>
    <row r="47" spans="1:4" x14ac:dyDescent="0.2">
      <c r="A47" s="19" t="s">
        <v>130</v>
      </c>
      <c r="B47" s="18">
        <f>0</f>
        <v>0</v>
      </c>
      <c r="C47" s="18"/>
      <c r="D47" s="18">
        <f>0</f>
        <v>0</v>
      </c>
    </row>
    <row r="48" spans="1:4" x14ac:dyDescent="0.2">
      <c r="A48" s="19" t="s">
        <v>131</v>
      </c>
      <c r="B48" s="18">
        <f>-1587.58</f>
        <v>-1587.58</v>
      </c>
      <c r="C48" s="18"/>
      <c r="D48" s="18">
        <v>0</v>
      </c>
    </row>
    <row r="49" spans="1:4" x14ac:dyDescent="0.2">
      <c r="A49" s="19" t="s">
        <v>132</v>
      </c>
      <c r="B49" s="18">
        <f>0</f>
        <v>0</v>
      </c>
      <c r="C49" s="18"/>
      <c r="D49" s="18">
        <f>0</f>
        <v>0</v>
      </c>
    </row>
    <row r="50" spans="1:4" x14ac:dyDescent="0.2">
      <c r="A50" s="19" t="s">
        <v>133</v>
      </c>
      <c r="B50" s="21">
        <f>((((B45)+(B46))+(B47))+(B48))+(B49)</f>
        <v>-1587.58</v>
      </c>
      <c r="C50" s="21"/>
      <c r="D50" s="21">
        <f>((((D45)+(D46))+(D47))+(D48))+(D49)</f>
        <v>0</v>
      </c>
    </row>
    <row r="51" spans="1:4" x14ac:dyDescent="0.2">
      <c r="A51" s="19" t="s">
        <v>134</v>
      </c>
      <c r="B51" s="20"/>
      <c r="C51" s="20"/>
      <c r="D51" s="20"/>
    </row>
    <row r="52" spans="1:4" x14ac:dyDescent="0.2">
      <c r="A52" s="19" t="s">
        <v>135</v>
      </c>
      <c r="B52" s="18">
        <f>681764.33</f>
        <v>681764.33</v>
      </c>
      <c r="C52" s="18"/>
      <c r="D52" s="18">
        <f>681764.33</f>
        <v>681764.33</v>
      </c>
    </row>
    <row r="53" spans="1:4" x14ac:dyDescent="0.2">
      <c r="A53" s="19" t="s">
        <v>136</v>
      </c>
      <c r="B53" s="18">
        <f>889000</f>
        <v>889000</v>
      </c>
      <c r="C53" s="18"/>
      <c r="D53" s="18">
        <f>889000</f>
        <v>889000</v>
      </c>
    </row>
    <row r="54" spans="1:4" x14ac:dyDescent="0.2">
      <c r="A54" s="19" t="s">
        <v>137</v>
      </c>
      <c r="B54" s="18">
        <f>703478.72</f>
        <v>703478.72</v>
      </c>
      <c r="C54" s="18"/>
      <c r="D54" s="18">
        <v>639840.52</v>
      </c>
    </row>
    <row r="55" spans="1:4" x14ac:dyDescent="0.2">
      <c r="A55" s="19" t="s">
        <v>138</v>
      </c>
      <c r="B55" s="18">
        <f>31751.55</f>
        <v>31751.55</v>
      </c>
      <c r="C55" s="18"/>
      <c r="D55" s="18">
        <v>0</v>
      </c>
    </row>
    <row r="56" spans="1:4" x14ac:dyDescent="0.2">
      <c r="A56" s="19"/>
      <c r="B56" s="18">
        <f>0</f>
        <v>0</v>
      </c>
      <c r="C56" s="18"/>
      <c r="D56" s="18">
        <f>0</f>
        <v>0</v>
      </c>
    </row>
    <row r="57" spans="1:4" x14ac:dyDescent="0.2">
      <c r="A57" s="19" t="s">
        <v>139</v>
      </c>
      <c r="B57" s="18">
        <f>54758.03</f>
        <v>54758.03</v>
      </c>
      <c r="C57" s="18"/>
      <c r="D57" s="18">
        <v>54758.03</v>
      </c>
    </row>
    <row r="58" spans="1:4" x14ac:dyDescent="0.2">
      <c r="A58" s="19" t="s">
        <v>140</v>
      </c>
      <c r="B58" s="18">
        <f>50676.4</f>
        <v>50676.4</v>
      </c>
      <c r="C58" s="18"/>
      <c r="D58" s="18">
        <f>50676.4</f>
        <v>50676.4</v>
      </c>
    </row>
    <row r="59" spans="1:4" x14ac:dyDescent="0.2">
      <c r="A59" s="19" t="s">
        <v>141</v>
      </c>
      <c r="B59" s="21">
        <f>((B56)+(B57))+(B58)</f>
        <v>105434.43</v>
      </c>
      <c r="C59" s="21"/>
      <c r="D59" s="21">
        <f>((D56)+(D57))+(D58)</f>
        <v>105434.43</v>
      </c>
    </row>
    <row r="60" spans="1:4" x14ac:dyDescent="0.2">
      <c r="A60" s="19" t="s">
        <v>142</v>
      </c>
      <c r="B60" s="21">
        <f>(((((B51)+(B52))+(B53))+(B54))+(B55))+(B59)</f>
        <v>2411429.0299999998</v>
      </c>
      <c r="C60" s="21"/>
      <c r="D60" s="21">
        <f>(((((D51)+(D52))+(D53))+(D54))+(D55))+(D59)</f>
        <v>2316039.2800000003</v>
      </c>
    </row>
    <row r="61" spans="1:4" x14ac:dyDescent="0.2">
      <c r="A61" s="19" t="s">
        <v>143</v>
      </c>
      <c r="B61" s="20"/>
      <c r="C61" s="20"/>
      <c r="D61" s="20"/>
    </row>
    <row r="62" spans="1:4" x14ac:dyDescent="0.2">
      <c r="A62" s="19" t="s">
        <v>144</v>
      </c>
      <c r="B62" s="18">
        <f>-202661.84</f>
        <v>-202661.84</v>
      </c>
      <c r="C62" s="18"/>
      <c r="D62" s="18">
        <v>-185481.36</v>
      </c>
    </row>
    <row r="63" spans="1:4" x14ac:dyDescent="0.2">
      <c r="A63" s="19" t="s">
        <v>456</v>
      </c>
      <c r="B63" s="18">
        <f>-189480.37</f>
        <v>-189480.37</v>
      </c>
      <c r="C63" s="18"/>
      <c r="D63" s="18">
        <v>-153147.54999999999</v>
      </c>
    </row>
    <row r="64" spans="1:4" x14ac:dyDescent="0.2">
      <c r="A64" s="19" t="s">
        <v>383</v>
      </c>
      <c r="B64" s="18">
        <f>0</f>
        <v>0</v>
      </c>
      <c r="C64" s="18"/>
      <c r="D64" s="18">
        <f>0</f>
        <v>0</v>
      </c>
    </row>
    <row r="65" spans="1:4" x14ac:dyDescent="0.2">
      <c r="A65" s="19" t="s">
        <v>145</v>
      </c>
      <c r="B65" s="20"/>
      <c r="C65" s="20"/>
      <c r="D65" s="20"/>
    </row>
    <row r="66" spans="1:4" x14ac:dyDescent="0.2">
      <c r="A66" s="19" t="s">
        <v>146</v>
      </c>
      <c r="B66" s="18">
        <f>-26678.37</f>
        <v>-26678.37</v>
      </c>
      <c r="C66" s="18"/>
      <c r="D66" s="18">
        <v>-24020.97</v>
      </c>
    </row>
    <row r="67" spans="1:4" x14ac:dyDescent="0.2">
      <c r="A67" s="19" t="s">
        <v>147</v>
      </c>
      <c r="B67" s="18">
        <f>-43630.23</f>
        <v>-43630.23</v>
      </c>
      <c r="C67" s="18"/>
      <c r="D67" s="18">
        <v>-42338.58</v>
      </c>
    </row>
    <row r="68" spans="1:4" x14ac:dyDescent="0.2">
      <c r="A68" s="19" t="s">
        <v>148</v>
      </c>
      <c r="B68" s="21">
        <f>((B65)+(B66))+(B67)</f>
        <v>-70308.600000000006</v>
      </c>
      <c r="C68" s="21"/>
      <c r="D68" s="21">
        <f>((D65)+(D66))+(D67)</f>
        <v>-66359.55</v>
      </c>
    </row>
    <row r="69" spans="1:4" x14ac:dyDescent="0.2">
      <c r="A69" s="19" t="s">
        <v>149</v>
      </c>
      <c r="B69" s="21">
        <f>((((B61)+(B62))+(B63))+(B64))+(B68)</f>
        <v>-462450.80999999994</v>
      </c>
      <c r="C69" s="21"/>
      <c r="D69" s="21">
        <f>((((D61)+(D62))+(D63))+(D64))+(D68)</f>
        <v>-404988.45999999996</v>
      </c>
    </row>
    <row r="70" spans="1:4" x14ac:dyDescent="0.2">
      <c r="A70" s="19" t="s">
        <v>150</v>
      </c>
      <c r="B70" s="21">
        <f>((((B38)+(B44))+(B50))+(B60))+(B69)</f>
        <v>1947390.6399999997</v>
      </c>
      <c r="C70" s="21"/>
      <c r="D70" s="21">
        <f>((((D38)+(D44))+(D50))+(D60))+(D69)</f>
        <v>1911050.8200000003</v>
      </c>
    </row>
    <row r="71" spans="1:4" x14ac:dyDescent="0.2">
      <c r="A71" s="19" t="s">
        <v>151</v>
      </c>
      <c r="B71" s="21">
        <f>B70</f>
        <v>1947390.6399999997</v>
      </c>
      <c r="C71" s="21"/>
      <c r="D71" s="21">
        <f>D70</f>
        <v>1911050.8200000003</v>
      </c>
    </row>
    <row r="72" spans="1:4" x14ac:dyDescent="0.2">
      <c r="A72" s="19" t="s">
        <v>152</v>
      </c>
      <c r="B72" s="20"/>
      <c r="C72" s="20"/>
      <c r="D72" s="20"/>
    </row>
    <row r="73" spans="1:4" x14ac:dyDescent="0.2">
      <c r="A73" s="19" t="s">
        <v>153</v>
      </c>
      <c r="B73" s="20"/>
      <c r="C73" s="20"/>
      <c r="D73" s="20"/>
    </row>
    <row r="74" spans="1:4" x14ac:dyDescent="0.2">
      <c r="A74" s="19" t="s">
        <v>457</v>
      </c>
      <c r="B74" s="18">
        <f>0</f>
        <v>0</v>
      </c>
      <c r="C74" s="18"/>
      <c r="D74" s="18">
        <f>0</f>
        <v>0</v>
      </c>
    </row>
    <row r="75" spans="1:4" x14ac:dyDescent="0.2">
      <c r="A75" s="19" t="s">
        <v>458</v>
      </c>
      <c r="B75" s="18">
        <f>0</f>
        <v>0</v>
      </c>
      <c r="C75" s="18"/>
      <c r="D75" s="18">
        <f>0</f>
        <v>0</v>
      </c>
    </row>
    <row r="76" spans="1:4" x14ac:dyDescent="0.2">
      <c r="A76" s="19" t="s">
        <v>459</v>
      </c>
      <c r="B76" s="18">
        <f>0</f>
        <v>0</v>
      </c>
      <c r="C76" s="18"/>
      <c r="D76" s="18">
        <f>0</f>
        <v>0</v>
      </c>
    </row>
    <row r="77" spans="1:4" x14ac:dyDescent="0.2">
      <c r="A77" s="19" t="s">
        <v>460</v>
      </c>
      <c r="B77" s="18">
        <f>0</f>
        <v>0</v>
      </c>
      <c r="C77" s="18"/>
      <c r="D77" s="18">
        <f>0</f>
        <v>0</v>
      </c>
    </row>
    <row r="78" spans="1:4" x14ac:dyDescent="0.2">
      <c r="A78" s="19" t="s">
        <v>461</v>
      </c>
      <c r="B78" s="18">
        <f>0</f>
        <v>0</v>
      </c>
      <c r="C78" s="18"/>
      <c r="D78" s="18">
        <f>0</f>
        <v>0</v>
      </c>
    </row>
    <row r="79" spans="1:4" x14ac:dyDescent="0.2">
      <c r="A79" s="19" t="s">
        <v>462</v>
      </c>
      <c r="B79" s="21">
        <f>(((B75)+(B76))+(B77))+(B78)</f>
        <v>0</v>
      </c>
      <c r="C79" s="21"/>
      <c r="D79" s="21">
        <f>(((D75)+(D76))+(D77))+(D78)</f>
        <v>0</v>
      </c>
    </row>
    <row r="80" spans="1:4" x14ac:dyDescent="0.2">
      <c r="A80" s="19" t="s">
        <v>463</v>
      </c>
      <c r="B80" s="18">
        <f>0</f>
        <v>0</v>
      </c>
      <c r="C80" s="18"/>
      <c r="D80" s="18">
        <f>0</f>
        <v>0</v>
      </c>
    </row>
    <row r="81" spans="1:4" x14ac:dyDescent="0.2">
      <c r="A81" s="19" t="s">
        <v>154</v>
      </c>
      <c r="B81" s="18">
        <f>50137.95</f>
        <v>50137.95</v>
      </c>
      <c r="C81" s="18"/>
      <c r="D81" s="18">
        <f>42937.68</f>
        <v>42937.68</v>
      </c>
    </row>
    <row r="82" spans="1:4" x14ac:dyDescent="0.2">
      <c r="A82" s="19" t="s">
        <v>155</v>
      </c>
      <c r="B82" s="18">
        <f>91655.76</f>
        <v>91655.76</v>
      </c>
      <c r="C82" s="18"/>
      <c r="D82" s="18">
        <f>81139.96</f>
        <v>81139.960000000006</v>
      </c>
    </row>
    <row r="83" spans="1:4" x14ac:dyDescent="0.2">
      <c r="A83" s="19" t="s">
        <v>552</v>
      </c>
      <c r="B83" s="18">
        <f>53552.8</f>
        <v>53552.800000000003</v>
      </c>
      <c r="C83" s="18"/>
      <c r="D83" s="20"/>
    </row>
    <row r="84" spans="1:4" x14ac:dyDescent="0.2">
      <c r="A84" s="19" t="s">
        <v>156</v>
      </c>
      <c r="B84" s="18">
        <f>17404.57</f>
        <v>17404.57</v>
      </c>
      <c r="C84" s="18"/>
      <c r="D84" s="18">
        <v>21651.17</v>
      </c>
    </row>
    <row r="85" spans="1:4" x14ac:dyDescent="0.2">
      <c r="A85" s="19" t="s">
        <v>157</v>
      </c>
      <c r="B85" s="21">
        <f>(((((((B73)+(B74))+(B79))+(B80))+(B81))+(B82))+(B83))+(B84)</f>
        <v>212751.08000000002</v>
      </c>
      <c r="C85" s="21"/>
      <c r="D85" s="21">
        <f>(((((((D73)+(D74))+(D79))+(D80))+(D81))+(D82))+(D83))+(D84)</f>
        <v>145728.81</v>
      </c>
    </row>
    <row r="86" spans="1:4" x14ac:dyDescent="0.2">
      <c r="A86" s="19" t="s">
        <v>560</v>
      </c>
      <c r="B86" s="18">
        <f>0</f>
        <v>0</v>
      </c>
      <c r="C86" s="18"/>
      <c r="D86" s="18">
        <f>0</f>
        <v>0</v>
      </c>
    </row>
    <row r="87" spans="1:4" x14ac:dyDescent="0.2">
      <c r="A87" s="19" t="s">
        <v>158</v>
      </c>
      <c r="B87" s="21">
        <f>(B85)+(B86)</f>
        <v>212751.08000000002</v>
      </c>
      <c r="C87" s="21"/>
      <c r="D87" s="21">
        <f>(D85)+(D86)</f>
        <v>145728.81</v>
      </c>
    </row>
    <row r="88" spans="1:4" x14ac:dyDescent="0.2">
      <c r="A88" s="19" t="s">
        <v>100</v>
      </c>
      <c r="B88" s="21">
        <f>((B36)+(B71))+(B87)</f>
        <v>2544511.6999999997</v>
      </c>
      <c r="C88" s="21"/>
      <c r="D88" s="21">
        <f>((D36)+(D71))+(D87)</f>
        <v>2648817.0200000005</v>
      </c>
    </row>
    <row r="89" spans="1:4" x14ac:dyDescent="0.2">
      <c r="A89" s="19" t="s">
        <v>159</v>
      </c>
      <c r="B89" s="20"/>
      <c r="C89" s="20"/>
      <c r="D89" s="20"/>
    </row>
    <row r="90" spans="1:4" x14ac:dyDescent="0.2">
      <c r="A90" s="19" t="s">
        <v>160</v>
      </c>
      <c r="B90" s="20"/>
      <c r="C90" s="20"/>
      <c r="D90" s="20"/>
    </row>
    <row r="91" spans="1:4" x14ac:dyDescent="0.2">
      <c r="A91" s="19" t="s">
        <v>161</v>
      </c>
      <c r="B91" s="20"/>
      <c r="C91" s="20"/>
      <c r="D91" s="20"/>
    </row>
    <row r="92" spans="1:4" x14ac:dyDescent="0.2">
      <c r="A92" s="19" t="s">
        <v>162</v>
      </c>
      <c r="B92" s="20"/>
      <c r="C92" s="20"/>
      <c r="D92" s="20"/>
    </row>
    <row r="93" spans="1:4" x14ac:dyDescent="0.2">
      <c r="A93" s="19" t="s">
        <v>163</v>
      </c>
      <c r="B93" s="18">
        <f>36534.55</f>
        <v>36534.550000000003</v>
      </c>
      <c r="C93" s="18"/>
      <c r="D93" s="18">
        <v>353.35</v>
      </c>
    </row>
    <row r="94" spans="1:4" x14ac:dyDescent="0.2">
      <c r="A94" s="19" t="s">
        <v>164</v>
      </c>
      <c r="B94" s="21">
        <f>B93</f>
        <v>36534.550000000003</v>
      </c>
      <c r="C94" s="21"/>
      <c r="D94" s="21">
        <f>D93</f>
        <v>353.35</v>
      </c>
    </row>
    <row r="95" spans="1:4" x14ac:dyDescent="0.2">
      <c r="A95" s="19" t="s">
        <v>165</v>
      </c>
      <c r="B95" s="20"/>
      <c r="C95" s="20"/>
      <c r="D95" s="20"/>
    </row>
    <row r="96" spans="1:4" x14ac:dyDescent="0.2">
      <c r="A96" s="19" t="s">
        <v>417</v>
      </c>
      <c r="B96" s="20"/>
      <c r="C96" s="20"/>
      <c r="D96" s="20"/>
    </row>
    <row r="97" spans="1:4" x14ac:dyDescent="0.2">
      <c r="A97" s="19" t="s">
        <v>464</v>
      </c>
      <c r="B97" s="18">
        <f>0</f>
        <v>0</v>
      </c>
      <c r="C97" s="18"/>
      <c r="D97" s="18">
        <v>3.41</v>
      </c>
    </row>
    <row r="98" spans="1:4" x14ac:dyDescent="0.2">
      <c r="A98" s="19" t="s">
        <v>465</v>
      </c>
      <c r="B98" s="18">
        <f>9.8</f>
        <v>9.8000000000000007</v>
      </c>
      <c r="C98" s="18"/>
      <c r="D98" s="18">
        <v>712.27</v>
      </c>
    </row>
    <row r="99" spans="1:4" x14ac:dyDescent="0.2">
      <c r="A99" s="19" t="s">
        <v>423</v>
      </c>
      <c r="B99" s="18">
        <f>0</f>
        <v>0</v>
      </c>
      <c r="C99" s="18"/>
      <c r="D99" s="18">
        <f>0</f>
        <v>0</v>
      </c>
    </row>
    <row r="100" spans="1:4" x14ac:dyDescent="0.2">
      <c r="A100" s="19" t="s">
        <v>418</v>
      </c>
      <c r="B100" s="18">
        <f>0</f>
        <v>0</v>
      </c>
      <c r="C100" s="18"/>
      <c r="D100" s="18">
        <v>-103.94</v>
      </c>
    </row>
    <row r="101" spans="1:4" x14ac:dyDescent="0.2">
      <c r="A101" s="19" t="s">
        <v>500</v>
      </c>
      <c r="B101" s="18">
        <f>0</f>
        <v>0</v>
      </c>
      <c r="C101" s="18"/>
      <c r="D101" s="18">
        <v>0</v>
      </c>
    </row>
    <row r="102" spans="1:4" x14ac:dyDescent="0.2">
      <c r="A102" s="19" t="s">
        <v>507</v>
      </c>
      <c r="B102" s="18">
        <f>0</f>
        <v>0</v>
      </c>
      <c r="C102" s="18"/>
      <c r="D102" s="18">
        <v>0</v>
      </c>
    </row>
    <row r="103" spans="1:4" x14ac:dyDescent="0.2">
      <c r="A103" s="19" t="s">
        <v>419</v>
      </c>
      <c r="B103" s="21">
        <f>((((((B96)+(B97))+(B98))+(B99))+(B100))+(B101))+(B102)</f>
        <v>9.8000000000000007</v>
      </c>
      <c r="C103" s="21"/>
      <c r="D103" s="21">
        <f>((((((D96)+(D97))+(D98))+(D99))+(D100))+(D101))+(D102)</f>
        <v>611.74</v>
      </c>
    </row>
    <row r="104" spans="1:4" x14ac:dyDescent="0.2">
      <c r="A104" s="19" t="s">
        <v>166</v>
      </c>
      <c r="B104" s="21">
        <f>B103</f>
        <v>9.8000000000000007</v>
      </c>
      <c r="C104" s="21"/>
      <c r="D104" s="21">
        <f>D103</f>
        <v>611.74</v>
      </c>
    </row>
    <row r="105" spans="1:4" x14ac:dyDescent="0.2">
      <c r="A105" s="19" t="s">
        <v>167</v>
      </c>
      <c r="B105" s="20"/>
      <c r="C105" s="20"/>
      <c r="D105" s="20"/>
    </row>
    <row r="106" spans="1:4" hidden="1" x14ac:dyDescent="0.2">
      <c r="A106" s="19" t="s">
        <v>168</v>
      </c>
      <c r="B106" s="18">
        <f>0</f>
        <v>0</v>
      </c>
      <c r="C106" s="18"/>
      <c r="D106" s="18">
        <f>0</f>
        <v>0</v>
      </c>
    </row>
    <row r="107" spans="1:4" hidden="1" x14ac:dyDescent="0.2">
      <c r="A107" s="19" t="s">
        <v>466</v>
      </c>
      <c r="B107" s="18">
        <f>0</f>
        <v>0</v>
      </c>
      <c r="C107" s="18"/>
      <c r="D107" s="18">
        <f>0</f>
        <v>0</v>
      </c>
    </row>
    <row r="108" spans="1:4" hidden="1" x14ac:dyDescent="0.2">
      <c r="A108" s="19" t="s">
        <v>467</v>
      </c>
      <c r="B108" s="18">
        <f>0</f>
        <v>0</v>
      </c>
      <c r="C108" s="18"/>
      <c r="D108" s="18">
        <f>0</f>
        <v>0</v>
      </c>
    </row>
    <row r="109" spans="1:4" x14ac:dyDescent="0.2">
      <c r="A109" s="19" t="s">
        <v>391</v>
      </c>
      <c r="B109" s="18">
        <f>10350</f>
        <v>10350</v>
      </c>
      <c r="C109" s="18"/>
      <c r="D109" s="18">
        <f>2700</f>
        <v>2700</v>
      </c>
    </row>
    <row r="110" spans="1:4" x14ac:dyDescent="0.2">
      <c r="A110" s="19" t="s">
        <v>169</v>
      </c>
      <c r="B110" s="18">
        <f>0</f>
        <v>0</v>
      </c>
      <c r="C110" s="18"/>
      <c r="D110" s="18">
        <f>7505.1</f>
        <v>7505.1</v>
      </c>
    </row>
    <row r="111" spans="1:4" hidden="1" x14ac:dyDescent="0.2">
      <c r="A111" s="19" t="s">
        <v>468</v>
      </c>
      <c r="B111" s="18">
        <f>0</f>
        <v>0</v>
      </c>
      <c r="C111" s="18"/>
      <c r="D111" s="18">
        <f>0</f>
        <v>0</v>
      </c>
    </row>
    <row r="112" spans="1:4" hidden="1" x14ac:dyDescent="0.2">
      <c r="A112" s="19" t="s">
        <v>544</v>
      </c>
      <c r="B112" s="18">
        <f>0</f>
        <v>0</v>
      </c>
      <c r="C112" s="18"/>
      <c r="D112" s="20"/>
    </row>
    <row r="113" spans="1:4" hidden="1" x14ac:dyDescent="0.2">
      <c r="A113" s="19" t="s">
        <v>469</v>
      </c>
      <c r="B113" s="18">
        <f>0</f>
        <v>0</v>
      </c>
      <c r="C113" s="18"/>
      <c r="D113" s="18">
        <f>0</f>
        <v>0</v>
      </c>
    </row>
    <row r="114" spans="1:4" hidden="1" x14ac:dyDescent="0.2">
      <c r="A114" s="19" t="s">
        <v>470</v>
      </c>
      <c r="B114" s="18">
        <f>0</f>
        <v>0</v>
      </c>
      <c r="C114" s="18"/>
      <c r="D114" s="18">
        <f>0</f>
        <v>0</v>
      </c>
    </row>
    <row r="115" spans="1:4" hidden="1" x14ac:dyDescent="0.2">
      <c r="A115" s="19" t="s">
        <v>471</v>
      </c>
      <c r="B115" s="18">
        <f>0</f>
        <v>0</v>
      </c>
      <c r="C115" s="18"/>
      <c r="D115" s="18">
        <f>0</f>
        <v>0</v>
      </c>
    </row>
    <row r="116" spans="1:4" hidden="1" x14ac:dyDescent="0.2">
      <c r="A116" s="19" t="s">
        <v>553</v>
      </c>
      <c r="B116" s="18">
        <f>0</f>
        <v>0</v>
      </c>
      <c r="C116" s="18"/>
      <c r="D116" s="18">
        <f>0</f>
        <v>0</v>
      </c>
    </row>
    <row r="117" spans="1:4" hidden="1" x14ac:dyDescent="0.2">
      <c r="A117" s="19" t="s">
        <v>545</v>
      </c>
      <c r="B117" s="18">
        <f>0</f>
        <v>0</v>
      </c>
      <c r="C117" s="18"/>
      <c r="D117" s="18">
        <v>0</v>
      </c>
    </row>
    <row r="118" spans="1:4" x14ac:dyDescent="0.2">
      <c r="A118" s="19" t="s">
        <v>405</v>
      </c>
      <c r="B118" s="20"/>
      <c r="C118" s="20"/>
      <c r="D118" s="20"/>
    </row>
    <row r="119" spans="1:4" x14ac:dyDescent="0.2">
      <c r="A119" s="19" t="s">
        <v>519</v>
      </c>
      <c r="B119" s="18">
        <f>0</f>
        <v>0</v>
      </c>
      <c r="C119" s="18"/>
      <c r="D119" s="18">
        <v>814.36</v>
      </c>
    </row>
    <row r="120" spans="1:4" x14ac:dyDescent="0.2">
      <c r="A120" s="19" t="s">
        <v>520</v>
      </c>
      <c r="B120" s="18">
        <f>0</f>
        <v>0</v>
      </c>
      <c r="C120" s="18"/>
      <c r="D120" s="18">
        <v>2267.7199999999998</v>
      </c>
    </row>
    <row r="121" spans="1:4" hidden="1" x14ac:dyDescent="0.2">
      <c r="A121" s="19" t="s">
        <v>483</v>
      </c>
      <c r="B121" s="18">
        <f>0</f>
        <v>0</v>
      </c>
      <c r="C121" s="18"/>
      <c r="D121" s="18">
        <f>0</f>
        <v>0</v>
      </c>
    </row>
    <row r="122" spans="1:4" hidden="1" x14ac:dyDescent="0.2">
      <c r="A122" s="19" t="s">
        <v>484</v>
      </c>
      <c r="B122" s="18">
        <f>0</f>
        <v>0</v>
      </c>
      <c r="C122" s="18"/>
      <c r="D122" s="18">
        <f>0</f>
        <v>0</v>
      </c>
    </row>
    <row r="123" spans="1:4" hidden="1" x14ac:dyDescent="0.2">
      <c r="A123" s="19" t="s">
        <v>406</v>
      </c>
      <c r="B123" s="18">
        <f>0</f>
        <v>0</v>
      </c>
      <c r="C123" s="18"/>
      <c r="D123" s="18">
        <f>0</f>
        <v>0</v>
      </c>
    </row>
    <row r="124" spans="1:4" hidden="1" x14ac:dyDescent="0.2">
      <c r="A124" s="19" t="s">
        <v>508</v>
      </c>
      <c r="B124" s="18">
        <f>0</f>
        <v>0</v>
      </c>
      <c r="C124" s="18"/>
      <c r="D124" s="18">
        <f>0</f>
        <v>0</v>
      </c>
    </row>
    <row r="125" spans="1:4" hidden="1" x14ac:dyDescent="0.2">
      <c r="A125" s="19" t="s">
        <v>485</v>
      </c>
      <c r="B125" s="18">
        <f>0</f>
        <v>0</v>
      </c>
      <c r="C125" s="18"/>
      <c r="D125" s="18">
        <f>0</f>
        <v>0</v>
      </c>
    </row>
    <row r="126" spans="1:4" x14ac:dyDescent="0.2">
      <c r="A126" s="19" t="s">
        <v>503</v>
      </c>
      <c r="B126" s="18">
        <f>0</f>
        <v>0</v>
      </c>
      <c r="C126" s="18"/>
      <c r="D126" s="18">
        <v>272.27999999999997</v>
      </c>
    </row>
    <row r="127" spans="1:4" x14ac:dyDescent="0.2">
      <c r="A127" s="19" t="s">
        <v>407</v>
      </c>
      <c r="B127" s="18">
        <f>0</f>
        <v>0</v>
      </c>
      <c r="C127" s="18"/>
      <c r="D127" s="18">
        <v>527.33000000000004</v>
      </c>
    </row>
    <row r="128" spans="1:4" x14ac:dyDescent="0.2">
      <c r="A128" s="19" t="s">
        <v>408</v>
      </c>
      <c r="B128" s="18">
        <f>0</f>
        <v>0</v>
      </c>
      <c r="C128" s="18"/>
      <c r="D128" s="18">
        <v>86.4</v>
      </c>
    </row>
    <row r="129" spans="1:4" x14ac:dyDescent="0.2">
      <c r="A129" s="19" t="s">
        <v>409</v>
      </c>
      <c r="B129" s="18">
        <f>0</f>
        <v>0</v>
      </c>
      <c r="C129" s="18"/>
      <c r="D129" s="18">
        <v>25.51</v>
      </c>
    </row>
    <row r="130" spans="1:4" x14ac:dyDescent="0.2">
      <c r="A130" s="19" t="s">
        <v>410</v>
      </c>
      <c r="B130" s="21">
        <f>(((((((((((B118)+(B119))+(B120))+(B121))+(B122))+(B123))+(B124))+(B125))+(B126))+(B127))+(B128))+(B129)</f>
        <v>0</v>
      </c>
      <c r="C130" s="21"/>
      <c r="D130" s="21">
        <f>(((((((((((D118)+(D119))+(D120))+(D121))+(D122))+(D123))+(D124))+(D125))+(D126))+(D127))+(D128))+(D129)</f>
        <v>3993.6</v>
      </c>
    </row>
    <row r="131" spans="1:4" x14ac:dyDescent="0.2">
      <c r="A131" s="19" t="s">
        <v>170</v>
      </c>
      <c r="B131" s="21">
        <f>((((((((((((B106)+(B107))+(B108))+(B109))+(B110))+(B111))+(B112))+(B113))+(B114))+(B115))+(B116))+(B117))+(B130)</f>
        <v>10350</v>
      </c>
      <c r="C131" s="21"/>
      <c r="D131" s="21">
        <f>((((((((((((D106)+(D107))+(D108))+(D109))+(D110))+(D111))+(D112))+(D113))+(D114))+(D115))+(D116))+(D117))+(D130)</f>
        <v>14198.7</v>
      </c>
    </row>
    <row r="132" spans="1:4" x14ac:dyDescent="0.2">
      <c r="A132" s="19" t="s">
        <v>171</v>
      </c>
      <c r="B132" s="21">
        <f>((B94)+(B104))+(B131)</f>
        <v>46894.350000000006</v>
      </c>
      <c r="C132" s="21"/>
      <c r="D132" s="21">
        <f>((D94)+(D104))+(D131)</f>
        <v>15163.79</v>
      </c>
    </row>
    <row r="133" spans="1:4" x14ac:dyDescent="0.2">
      <c r="A133" s="19" t="s">
        <v>172</v>
      </c>
      <c r="B133" s="21">
        <f>B132</f>
        <v>46894.350000000006</v>
      </c>
      <c r="C133" s="21"/>
      <c r="D133" s="21">
        <f>D132</f>
        <v>15163.79</v>
      </c>
    </row>
    <row r="134" spans="1:4" x14ac:dyDescent="0.2">
      <c r="A134" s="19" t="s">
        <v>173</v>
      </c>
      <c r="B134" s="20"/>
      <c r="C134" s="20"/>
      <c r="D134" s="20"/>
    </row>
    <row r="135" spans="1:4" x14ac:dyDescent="0.2">
      <c r="A135" s="19" t="s">
        <v>358</v>
      </c>
      <c r="B135" s="18">
        <f>0</f>
        <v>0</v>
      </c>
      <c r="C135" s="18"/>
      <c r="D135" s="18">
        <f>0</f>
        <v>0</v>
      </c>
    </row>
    <row r="136" spans="1:4" x14ac:dyDescent="0.2">
      <c r="A136" s="19" t="s">
        <v>174</v>
      </c>
      <c r="B136" s="18">
        <f>2232779.68</f>
        <v>2232779.6800000002</v>
      </c>
      <c r="C136" s="18"/>
      <c r="D136" s="18">
        <v>2004916.93</v>
      </c>
    </row>
    <row r="137" spans="1:4" x14ac:dyDescent="0.2">
      <c r="A137" s="19" t="s">
        <v>175</v>
      </c>
      <c r="B137" s="18">
        <f>129507.37</f>
        <v>129507.37</v>
      </c>
      <c r="C137" s="18"/>
      <c r="D137" s="18">
        <f>280804.33</f>
        <v>280804.33</v>
      </c>
    </row>
    <row r="138" spans="1:4" x14ac:dyDescent="0.2">
      <c r="A138" s="19" t="s">
        <v>359</v>
      </c>
      <c r="B138" s="21">
        <f>((B135)+(B136))+(B137)</f>
        <v>2362287.0500000003</v>
      </c>
      <c r="C138" s="21"/>
      <c r="D138" s="21">
        <f>((D135)+(D136))+(D137)</f>
        <v>2285721.2599999998</v>
      </c>
    </row>
    <row r="139" spans="1:4" x14ac:dyDescent="0.2">
      <c r="A139" s="19" t="s">
        <v>554</v>
      </c>
      <c r="B139" s="18">
        <f>0</f>
        <v>0</v>
      </c>
      <c r="C139" s="18"/>
      <c r="D139" s="18"/>
    </row>
    <row r="140" spans="1:4" x14ac:dyDescent="0.2">
      <c r="A140" s="19" t="s">
        <v>360</v>
      </c>
      <c r="B140" s="20"/>
      <c r="C140" s="20"/>
      <c r="D140" s="20"/>
    </row>
    <row r="141" spans="1:4" x14ac:dyDescent="0.2">
      <c r="A141" s="19" t="s">
        <v>361</v>
      </c>
      <c r="B141" s="18">
        <f>79758</f>
        <v>79758</v>
      </c>
      <c r="C141" s="18"/>
      <c r="D141" s="18">
        <f>79758</f>
        <v>79758</v>
      </c>
    </row>
    <row r="142" spans="1:4" x14ac:dyDescent="0.2">
      <c r="A142" s="19" t="s">
        <v>546</v>
      </c>
      <c r="B142" s="18">
        <f>60985.67</f>
        <v>60985.67</v>
      </c>
      <c r="C142" s="18"/>
      <c r="D142" s="18">
        <v>145973.67000000001</v>
      </c>
    </row>
    <row r="143" spans="1:4" hidden="1" x14ac:dyDescent="0.2">
      <c r="A143" s="19" t="s">
        <v>384</v>
      </c>
      <c r="B143" s="18">
        <f>0</f>
        <v>0</v>
      </c>
      <c r="C143" s="18"/>
      <c r="D143" s="18">
        <f>0</f>
        <v>0</v>
      </c>
    </row>
    <row r="144" spans="1:4" x14ac:dyDescent="0.2">
      <c r="A144" s="19" t="s">
        <v>486</v>
      </c>
      <c r="B144" s="18">
        <f>41759</f>
        <v>41759</v>
      </c>
      <c r="C144" s="18"/>
      <c r="D144" s="18">
        <v>64618.1</v>
      </c>
    </row>
    <row r="145" spans="1:4" x14ac:dyDescent="0.2">
      <c r="A145" s="19" t="s">
        <v>362</v>
      </c>
      <c r="B145" s="21">
        <f>((((B140)+(B141))+(B142))+(B143))+(B144)</f>
        <v>182502.66999999998</v>
      </c>
      <c r="C145" s="21"/>
      <c r="D145" s="21">
        <f>((((D140)+(D141))+(D142))+(D143))+(D144)</f>
        <v>290349.77</v>
      </c>
    </row>
    <row r="146" spans="1:4" hidden="1" x14ac:dyDescent="0.2">
      <c r="A146" s="19" t="s">
        <v>563</v>
      </c>
      <c r="B146" s="18">
        <f>0</f>
        <v>0</v>
      </c>
      <c r="C146" s="18"/>
      <c r="D146" s="18">
        <f>0</f>
        <v>0</v>
      </c>
    </row>
    <row r="147" spans="1:4" x14ac:dyDescent="0.2">
      <c r="A147" s="19" t="s">
        <v>176</v>
      </c>
      <c r="B147" s="252">
        <f>-47172.37</f>
        <v>-47172.37</v>
      </c>
      <c r="C147" s="18"/>
      <c r="D147" s="18">
        <v>57582.2</v>
      </c>
    </row>
    <row r="148" spans="1:4" x14ac:dyDescent="0.2">
      <c r="A148" s="19" t="s">
        <v>177</v>
      </c>
      <c r="B148" s="21">
        <f>((((B138)+(B139))+(B145))+(B146))+(B147)</f>
        <v>2497617.35</v>
      </c>
      <c r="C148" s="21"/>
      <c r="D148" s="21">
        <f>((((D138)+(D139))+(D145))+(D146))+(D147)</f>
        <v>2633653.23</v>
      </c>
    </row>
    <row r="149" spans="1:4" x14ac:dyDescent="0.2">
      <c r="A149" s="19" t="s">
        <v>178</v>
      </c>
      <c r="B149" s="21">
        <f>(B133)+(B148)</f>
        <v>2544511.7000000002</v>
      </c>
      <c r="C149" s="21"/>
      <c r="D149" s="21">
        <f>(D133)+(D148)</f>
        <v>2648817.02</v>
      </c>
    </row>
    <row r="150" spans="1:4" x14ac:dyDescent="0.2">
      <c r="A150" s="19"/>
      <c r="B150" s="20"/>
      <c r="C150" s="20"/>
      <c r="D150" s="20"/>
    </row>
    <row r="153" spans="1:4" x14ac:dyDescent="0.2">
      <c r="A153" s="259" t="s">
        <v>607</v>
      </c>
      <c r="B153" s="254"/>
      <c r="C153" s="254"/>
      <c r="D153" s="254"/>
    </row>
  </sheetData>
  <mergeCells count="5">
    <mergeCell ref="A1:D1"/>
    <mergeCell ref="A2:D2"/>
    <mergeCell ref="A3:D3"/>
    <mergeCell ref="B5:D5"/>
    <mergeCell ref="A153:D15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8"/>
  <sheetViews>
    <sheetView workbookViewId="0">
      <pane xSplit="1" ySplit="3" topLeftCell="B45" activePane="bottomRight" state="frozen"/>
      <selection pane="topRight" activeCell="B1" sqref="B1"/>
      <selection pane="bottomLeft" activeCell="A4" sqref="A4"/>
      <selection pane="bottomRight" activeCell="I55" sqref="I55"/>
    </sheetView>
  </sheetViews>
  <sheetFormatPr baseColWidth="10" defaultColWidth="8.83203125" defaultRowHeight="16" x14ac:dyDescent="0.2"/>
  <cols>
    <col min="1" max="1" width="32.6640625" style="43" customWidth="1"/>
    <col min="2" max="2" width="16.5" style="43" customWidth="1"/>
    <col min="3" max="3" width="14.33203125" style="43" customWidth="1"/>
    <col min="4" max="4" width="6.6640625" style="43" customWidth="1"/>
    <col min="5" max="5" width="14.6640625" style="43" customWidth="1"/>
    <col min="6" max="6" width="19" style="43" customWidth="1"/>
    <col min="7" max="9" width="8.83203125" style="43"/>
    <col min="10" max="10" width="23.6640625" style="43" customWidth="1"/>
    <col min="11" max="16384" width="8.83203125" style="43"/>
  </cols>
  <sheetData>
    <row r="1" spans="1:10" x14ac:dyDescent="0.2">
      <c r="A1" s="42" t="s">
        <v>582</v>
      </c>
      <c r="B1" s="42"/>
      <c r="C1" s="42"/>
      <c r="D1" s="42"/>
    </row>
    <row r="2" spans="1:10" x14ac:dyDescent="0.2">
      <c r="A2" s="42"/>
      <c r="B2" s="42"/>
      <c r="C2" s="42"/>
      <c r="D2" s="42"/>
    </row>
    <row r="3" spans="1:10" ht="35" thickBot="1" x14ac:dyDescent="0.25">
      <c r="A3" s="1">
        <v>45292</v>
      </c>
      <c r="B3" s="80">
        <v>2024</v>
      </c>
      <c r="C3" s="80">
        <v>2024</v>
      </c>
      <c r="D3" s="2"/>
      <c r="E3" s="2" t="s">
        <v>584</v>
      </c>
      <c r="F3" s="2" t="s">
        <v>583</v>
      </c>
    </row>
    <row r="4" spans="1:10" x14ac:dyDescent="0.2">
      <c r="A4" s="3" t="s">
        <v>68</v>
      </c>
      <c r="B4" s="4"/>
      <c r="C4" s="4"/>
      <c r="D4" s="4"/>
      <c r="E4" s="4"/>
      <c r="F4" s="4"/>
    </row>
    <row r="5" spans="1:10" x14ac:dyDescent="0.2">
      <c r="A5" s="44"/>
      <c r="B5" s="45"/>
      <c r="C5" s="45"/>
      <c r="D5" s="45"/>
      <c r="E5" s="45"/>
      <c r="F5" s="45"/>
    </row>
    <row r="6" spans="1:10" x14ac:dyDescent="0.2">
      <c r="A6" s="42" t="s">
        <v>69</v>
      </c>
      <c r="B6" s="11"/>
      <c r="C6" s="11"/>
      <c r="D6" s="11"/>
      <c r="E6" s="11"/>
      <c r="F6" s="11"/>
    </row>
    <row r="7" spans="1:10" x14ac:dyDescent="0.2">
      <c r="A7" s="7" t="s">
        <v>551</v>
      </c>
      <c r="B7" s="45">
        <v>13383.49</v>
      </c>
      <c r="C7" s="45">
        <v>180350</v>
      </c>
      <c r="D7" s="45"/>
      <c r="E7" s="82">
        <v>19826.75</v>
      </c>
      <c r="F7" s="46">
        <v>197350</v>
      </c>
      <c r="J7" s="45"/>
    </row>
    <row r="8" spans="1:10" x14ac:dyDescent="0.2">
      <c r="A8" s="7" t="s">
        <v>70</v>
      </c>
      <c r="B8" s="47">
        <v>11795.51</v>
      </c>
      <c r="C8" s="45">
        <v>159000</v>
      </c>
      <c r="D8" s="45"/>
      <c r="E8" s="90">
        <v>8686.25</v>
      </c>
      <c r="F8" s="45">
        <v>150000</v>
      </c>
    </row>
    <row r="9" spans="1:10" x14ac:dyDescent="0.2">
      <c r="A9" s="7"/>
      <c r="B9" s="45"/>
      <c r="C9" s="45"/>
      <c r="D9" s="45"/>
      <c r="E9" s="45"/>
      <c r="F9" s="45"/>
    </row>
    <row r="10" spans="1:10" x14ac:dyDescent="0.2">
      <c r="A10" s="48" t="s">
        <v>71</v>
      </c>
      <c r="B10" s="45"/>
      <c r="C10" s="45"/>
      <c r="D10" s="45"/>
      <c r="E10" s="45"/>
      <c r="F10" s="45"/>
    </row>
    <row r="11" spans="1:10" x14ac:dyDescent="0.2">
      <c r="A11" s="7"/>
      <c r="B11" s="45"/>
      <c r="C11" s="45"/>
      <c r="D11" s="45"/>
      <c r="E11" s="45"/>
      <c r="F11" s="45"/>
    </row>
    <row r="12" spans="1:10" x14ac:dyDescent="0.2">
      <c r="A12" s="7" t="s">
        <v>415</v>
      </c>
      <c r="B12" s="45">
        <v>5002.55</v>
      </c>
      <c r="C12" s="45">
        <v>5100</v>
      </c>
      <c r="D12" s="45"/>
      <c r="E12" s="45">
        <v>5002.51</v>
      </c>
      <c r="F12" s="45">
        <v>100</v>
      </c>
      <c r="J12" s="45"/>
    </row>
    <row r="13" spans="1:10" x14ac:dyDescent="0.2">
      <c r="A13" s="49" t="s">
        <v>561</v>
      </c>
      <c r="B13" s="50"/>
      <c r="C13" s="51"/>
      <c r="D13" s="45"/>
      <c r="E13" s="50"/>
      <c r="F13" s="50"/>
    </row>
    <row r="14" spans="1:10" x14ac:dyDescent="0.2">
      <c r="A14" s="7" t="s">
        <v>71</v>
      </c>
      <c r="B14" s="45">
        <f>SUM(B12:B13)</f>
        <v>5002.55</v>
      </c>
      <c r="C14" s="45">
        <f>SUM(C11:C13)</f>
        <v>5100</v>
      </c>
      <c r="D14" s="45"/>
      <c r="E14" s="45">
        <f>SUM(E11:E13)</f>
        <v>5002.51</v>
      </c>
      <c r="F14" s="45">
        <f>SUM(F11:F13)</f>
        <v>100</v>
      </c>
    </row>
    <row r="15" spans="1:10" x14ac:dyDescent="0.2">
      <c r="A15" s="52" t="s">
        <v>72</v>
      </c>
      <c r="B15" s="53">
        <f>B7+B8+B14</f>
        <v>30181.55</v>
      </c>
      <c r="C15" s="53">
        <f>C7+C8+C14</f>
        <v>344450</v>
      </c>
      <c r="D15" s="53"/>
      <c r="E15" s="53">
        <f>SUM(E7:E12)</f>
        <v>33515.51</v>
      </c>
      <c r="F15" s="53">
        <f>F7+F8+F14</f>
        <v>347450</v>
      </c>
    </row>
    <row r="16" spans="1:10" x14ac:dyDescent="0.2">
      <c r="B16" s="45"/>
      <c r="C16" s="45"/>
      <c r="D16" s="45"/>
      <c r="E16" s="45"/>
      <c r="F16" s="45"/>
    </row>
    <row r="17" spans="1:11" x14ac:dyDescent="0.2">
      <c r="A17" s="42" t="s">
        <v>73</v>
      </c>
      <c r="B17" s="11"/>
      <c r="C17" s="11"/>
      <c r="D17" s="11"/>
      <c r="E17" s="11"/>
      <c r="F17" s="11"/>
    </row>
    <row r="18" spans="1:11" x14ac:dyDescent="0.2">
      <c r="A18" s="44" t="s">
        <v>74</v>
      </c>
      <c r="B18" s="47">
        <v>17305.310000000001</v>
      </c>
      <c r="C18" s="45">
        <v>179000</v>
      </c>
      <c r="D18" s="45"/>
      <c r="E18" s="81">
        <v>20135</v>
      </c>
      <c r="F18" s="45">
        <v>167000</v>
      </c>
    </row>
    <row r="19" spans="1:11" x14ac:dyDescent="0.2">
      <c r="A19" s="44" t="s">
        <v>75</v>
      </c>
      <c r="B19" s="51">
        <v>15000</v>
      </c>
      <c r="C19" s="45">
        <v>90000</v>
      </c>
      <c r="D19" s="45"/>
      <c r="E19" s="82">
        <v>15000</v>
      </c>
      <c r="F19" s="45">
        <v>90000</v>
      </c>
    </row>
    <row r="20" spans="1:11" x14ac:dyDescent="0.2">
      <c r="A20" s="44" t="s">
        <v>566</v>
      </c>
      <c r="B20" s="101"/>
      <c r="D20" s="45"/>
      <c r="E20" s="45"/>
      <c r="F20" s="45"/>
    </row>
    <row r="21" spans="1:11" x14ac:dyDescent="0.2">
      <c r="A21" s="44" t="s">
        <v>76</v>
      </c>
      <c r="B21" s="47">
        <v>7150.5</v>
      </c>
      <c r="C21" s="50">
        <v>76186.399999999994</v>
      </c>
      <c r="D21" s="50"/>
      <c r="E21" s="50">
        <v>18381.169999999998</v>
      </c>
      <c r="F21" s="50">
        <v>0</v>
      </c>
    </row>
    <row r="22" spans="1:11" x14ac:dyDescent="0.2">
      <c r="A22" s="52" t="s">
        <v>77</v>
      </c>
      <c r="B22" s="54">
        <f>SUM(B17:B21)</f>
        <v>39455.81</v>
      </c>
      <c r="C22" s="11">
        <f>SUM(C18:C21)</f>
        <v>345186.4</v>
      </c>
      <c r="D22" s="11"/>
      <c r="E22" s="11">
        <f>SUM(E17:E21)</f>
        <v>53516.17</v>
      </c>
      <c r="F22" s="11">
        <f>SUM(F18:F21)</f>
        <v>257000</v>
      </c>
    </row>
    <row r="23" spans="1:11" x14ac:dyDescent="0.2">
      <c r="A23" s="52"/>
      <c r="B23" s="11"/>
      <c r="C23" s="11"/>
      <c r="D23" s="11"/>
      <c r="E23" s="11"/>
      <c r="F23" s="11"/>
    </row>
    <row r="24" spans="1:11" ht="17" thickBot="1" x14ac:dyDescent="0.25">
      <c r="A24" s="5" t="s">
        <v>78</v>
      </c>
      <c r="B24" s="6">
        <f>B15+B22</f>
        <v>69637.36</v>
      </c>
      <c r="C24" s="6">
        <f>C15+C22</f>
        <v>689636.4</v>
      </c>
      <c r="D24" s="6"/>
      <c r="E24" s="6">
        <f>E15+E22</f>
        <v>87031.679999999993</v>
      </c>
      <c r="F24" s="6">
        <f>F15+F22</f>
        <v>604450</v>
      </c>
    </row>
    <row r="25" spans="1:11" x14ac:dyDescent="0.2">
      <c r="A25" s="44"/>
      <c r="B25" s="45"/>
      <c r="C25" s="45"/>
      <c r="D25" s="45"/>
      <c r="E25" s="45"/>
      <c r="F25" s="45"/>
    </row>
    <row r="26" spans="1:11" x14ac:dyDescent="0.2">
      <c r="A26" s="3" t="s">
        <v>79</v>
      </c>
      <c r="B26" s="4"/>
      <c r="C26" s="4"/>
      <c r="D26" s="4"/>
      <c r="E26" s="4"/>
      <c r="F26" s="4"/>
    </row>
    <row r="27" spans="1:11" x14ac:dyDescent="0.2">
      <c r="A27" s="44"/>
      <c r="B27" s="45"/>
      <c r="C27" s="45"/>
      <c r="D27" s="45"/>
      <c r="E27" s="45"/>
      <c r="F27" s="45"/>
    </row>
    <row r="28" spans="1:11" x14ac:dyDescent="0.2">
      <c r="A28" s="12" t="s">
        <v>80</v>
      </c>
      <c r="B28" s="45"/>
      <c r="C28" s="45"/>
      <c r="D28" s="45"/>
      <c r="E28" s="45"/>
      <c r="F28" s="45"/>
    </row>
    <row r="29" spans="1:11" x14ac:dyDescent="0.2">
      <c r="A29" s="7" t="s">
        <v>81</v>
      </c>
      <c r="B29" s="21">
        <v>23941.69</v>
      </c>
      <c r="C29" s="45">
        <v>134223.29</v>
      </c>
      <c r="D29" s="45"/>
      <c r="E29" s="82">
        <v>21778.04</v>
      </c>
      <c r="F29" s="45">
        <v>116271.49</v>
      </c>
    </row>
    <row r="30" spans="1:11" ht="17" x14ac:dyDescent="0.2">
      <c r="A30" s="55" t="s">
        <v>101</v>
      </c>
      <c r="B30" s="45">
        <v>15000</v>
      </c>
      <c r="C30" s="45">
        <v>90000</v>
      </c>
      <c r="D30" s="45"/>
      <c r="E30" s="82">
        <v>15000</v>
      </c>
      <c r="F30" s="45">
        <v>90000</v>
      </c>
    </row>
    <row r="31" spans="1:11" x14ac:dyDescent="0.2">
      <c r="A31" s="55"/>
      <c r="B31" s="45"/>
      <c r="C31" s="45"/>
      <c r="D31" s="45"/>
      <c r="E31" s="45"/>
      <c r="F31" s="45"/>
      <c r="H31" s="56"/>
      <c r="I31" s="56"/>
      <c r="J31" s="56"/>
      <c r="K31" s="56"/>
    </row>
    <row r="32" spans="1:11" x14ac:dyDescent="0.2">
      <c r="B32" s="57"/>
      <c r="C32" s="57"/>
      <c r="D32" s="45"/>
      <c r="E32" s="57"/>
      <c r="F32" s="57"/>
    </row>
    <row r="33" spans="1:10" x14ac:dyDescent="0.2">
      <c r="A33" s="7" t="s">
        <v>82</v>
      </c>
      <c r="B33" s="58">
        <v>58.28</v>
      </c>
      <c r="C33" s="59">
        <v>69000</v>
      </c>
      <c r="D33" s="60"/>
      <c r="E33" s="92">
        <v>0</v>
      </c>
      <c r="F33" s="59">
        <v>149000</v>
      </c>
    </row>
    <row r="34" spans="1:10" x14ac:dyDescent="0.2">
      <c r="A34" s="7" t="s">
        <v>83</v>
      </c>
      <c r="B34" s="58">
        <v>46925.68</v>
      </c>
      <c r="C34" s="58">
        <v>90087.61</v>
      </c>
      <c r="D34" s="58"/>
      <c r="E34" s="92">
        <v>20554.64</v>
      </c>
      <c r="F34" s="58">
        <v>0</v>
      </c>
    </row>
    <row r="35" spans="1:10" x14ac:dyDescent="0.2">
      <c r="A35" s="61" t="s">
        <v>84</v>
      </c>
      <c r="B35" s="99">
        <f>SUM(B29:B34)</f>
        <v>85925.65</v>
      </c>
      <c r="C35" s="53">
        <f>SUM(C29:C34)</f>
        <v>383310.9</v>
      </c>
      <c r="D35" s="53"/>
      <c r="E35" s="53">
        <f>SUM(E29:E34)</f>
        <v>57332.68</v>
      </c>
      <c r="F35" s="53">
        <f>SUM(F29:F34)</f>
        <v>355271.49</v>
      </c>
    </row>
    <row r="36" spans="1:10" x14ac:dyDescent="0.2">
      <c r="A36" s="62"/>
      <c r="B36" s="11"/>
      <c r="C36" s="11"/>
      <c r="D36" s="11"/>
      <c r="E36" s="11"/>
      <c r="F36" s="11"/>
    </row>
    <row r="37" spans="1:10" x14ac:dyDescent="0.2">
      <c r="A37" s="12" t="s">
        <v>85</v>
      </c>
      <c r="B37" s="11"/>
      <c r="C37" s="11"/>
      <c r="D37" s="11"/>
      <c r="E37" s="11"/>
      <c r="F37" s="11"/>
    </row>
    <row r="38" spans="1:10" x14ac:dyDescent="0.2">
      <c r="A38" s="7" t="s">
        <v>86</v>
      </c>
      <c r="B38" s="45">
        <v>16480.84</v>
      </c>
      <c r="C38" s="63">
        <v>131880</v>
      </c>
      <c r="D38" s="45"/>
      <c r="E38" s="82">
        <v>14334.05</v>
      </c>
      <c r="F38" s="63">
        <v>128000</v>
      </c>
    </row>
    <row r="39" spans="1:10" x14ac:dyDescent="0.2">
      <c r="A39" s="7" t="s">
        <v>87</v>
      </c>
      <c r="B39" s="45">
        <v>0</v>
      </c>
      <c r="C39" s="64">
        <v>64700</v>
      </c>
      <c r="D39" s="45"/>
      <c r="E39" s="82">
        <v>1701.5</v>
      </c>
      <c r="F39" s="64">
        <v>87880</v>
      </c>
      <c r="J39" s="102"/>
    </row>
    <row r="40" spans="1:10" x14ac:dyDescent="0.2">
      <c r="A40" s="7" t="s">
        <v>102</v>
      </c>
      <c r="B40" s="45">
        <v>4570.3999999999996</v>
      </c>
      <c r="C40" s="64">
        <v>24056.400000000001</v>
      </c>
      <c r="D40" s="45"/>
      <c r="E40" s="82">
        <v>1519.37</v>
      </c>
      <c r="F40" s="64">
        <v>28108.400000000001</v>
      </c>
    </row>
    <row r="41" spans="1:10" x14ac:dyDescent="0.2">
      <c r="A41" s="7" t="s">
        <v>585</v>
      </c>
      <c r="B41" s="45">
        <v>1389</v>
      </c>
      <c r="C41" s="64"/>
      <c r="D41" s="45"/>
      <c r="E41" s="82"/>
      <c r="F41" s="64"/>
    </row>
    <row r="42" spans="1:10" x14ac:dyDescent="0.2">
      <c r="A42" s="7" t="s">
        <v>532</v>
      </c>
      <c r="B42" s="45">
        <v>1068.72</v>
      </c>
      <c r="C42" s="64">
        <v>34900</v>
      </c>
      <c r="D42" s="45"/>
      <c r="E42" s="45"/>
      <c r="F42" s="64"/>
    </row>
    <row r="43" spans="1:10" x14ac:dyDescent="0.2">
      <c r="A43" s="65" t="s">
        <v>88</v>
      </c>
      <c r="B43" s="96">
        <v>2502.2600000000002</v>
      </c>
      <c r="C43" s="66">
        <v>48350</v>
      </c>
      <c r="D43" s="57"/>
      <c r="E43" s="91">
        <v>2652.92</v>
      </c>
      <c r="F43" s="83">
        <v>39100</v>
      </c>
    </row>
    <row r="44" spans="1:10" x14ac:dyDescent="0.2">
      <c r="A44" s="67" t="s">
        <v>89</v>
      </c>
      <c r="B44" s="57">
        <v>4267.72</v>
      </c>
      <c r="C44" s="66">
        <v>41300</v>
      </c>
      <c r="D44" s="57"/>
      <c r="E44" s="91">
        <v>282.27</v>
      </c>
      <c r="F44" s="83">
        <v>36000</v>
      </c>
    </row>
    <row r="45" spans="1:10" x14ac:dyDescent="0.2">
      <c r="A45" s="61" t="s">
        <v>90</v>
      </c>
      <c r="B45" s="53">
        <f>SUM(B38:B44)</f>
        <v>30278.940000000002</v>
      </c>
      <c r="C45" s="53">
        <f>SUM(C38:C44)</f>
        <v>345186.4</v>
      </c>
      <c r="D45" s="53"/>
      <c r="E45" s="53">
        <f>SUM(E37:E44)</f>
        <v>20490.109999999997</v>
      </c>
      <c r="F45" s="53">
        <f>SUM(F38:F44)</f>
        <v>319088.40000000002</v>
      </c>
    </row>
    <row r="46" spans="1:10" x14ac:dyDescent="0.2">
      <c r="A46" s="8"/>
      <c r="B46" s="9"/>
      <c r="C46" s="9"/>
      <c r="D46" s="9"/>
      <c r="E46" s="9"/>
      <c r="F46" s="9"/>
    </row>
    <row r="47" spans="1:10" x14ac:dyDescent="0.2">
      <c r="A47" s="8"/>
      <c r="B47" s="9"/>
      <c r="C47" s="9"/>
      <c r="D47" s="9"/>
      <c r="E47" s="9"/>
      <c r="F47" s="9"/>
    </row>
    <row r="48" spans="1:10" x14ac:dyDescent="0.2">
      <c r="A48" s="62"/>
      <c r="B48" s="11"/>
      <c r="C48" s="11"/>
      <c r="D48" s="11"/>
      <c r="E48" s="11"/>
      <c r="F48" s="11"/>
    </row>
    <row r="49" spans="1:6" ht="17" thickBot="1" x14ac:dyDescent="0.25">
      <c r="A49" s="5" t="s">
        <v>91</v>
      </c>
      <c r="B49" s="6">
        <f>B35+B45</f>
        <v>116204.59</v>
      </c>
      <c r="C49" s="6">
        <f>C35+C45+C47</f>
        <v>728497.3</v>
      </c>
      <c r="D49" s="6"/>
      <c r="E49" s="6">
        <f>E35+E45</f>
        <v>77822.789999999994</v>
      </c>
      <c r="F49" s="6">
        <f>F35+F45+F47</f>
        <v>674359.89</v>
      </c>
    </row>
    <row r="50" spans="1:6" ht="10.25" customHeight="1" x14ac:dyDescent="0.2">
      <c r="A50" s="8"/>
      <c r="B50" s="9"/>
      <c r="C50" s="9"/>
      <c r="D50" s="9"/>
      <c r="E50" s="9"/>
      <c r="F50" s="9"/>
    </row>
    <row r="51" spans="1:6" x14ac:dyDescent="0.2">
      <c r="A51" s="10" t="s">
        <v>92</v>
      </c>
      <c r="B51" s="11">
        <f>B24-B49</f>
        <v>-46567.229999999996</v>
      </c>
      <c r="C51" s="11">
        <f>C24-C49</f>
        <v>-38860.900000000023</v>
      </c>
      <c r="D51" s="11"/>
      <c r="E51" s="11">
        <f>E24-E49</f>
        <v>9208.89</v>
      </c>
      <c r="F51" s="11">
        <v>0</v>
      </c>
    </row>
    <row r="52" spans="1:6" ht="9" customHeight="1" x14ac:dyDescent="0.2">
      <c r="A52" s="12"/>
      <c r="B52" s="13"/>
      <c r="C52" s="13"/>
      <c r="D52" s="13"/>
      <c r="E52" s="13"/>
      <c r="F52" s="13"/>
    </row>
    <row r="53" spans="1:6" x14ac:dyDescent="0.2">
      <c r="A53" s="42" t="s">
        <v>416</v>
      </c>
      <c r="B53" s="68">
        <v>-605.14</v>
      </c>
      <c r="C53" s="68"/>
      <c r="D53" s="68"/>
      <c r="E53" s="68">
        <v>48373.31</v>
      </c>
      <c r="F53" s="68"/>
    </row>
    <row r="54" spans="1:6" x14ac:dyDescent="0.2">
      <c r="A54" s="42" t="s">
        <v>568</v>
      </c>
      <c r="B54" s="68">
        <v>0</v>
      </c>
      <c r="C54" s="68"/>
      <c r="D54" s="68"/>
      <c r="E54" s="68">
        <v>0</v>
      </c>
      <c r="F54" s="68"/>
    </row>
    <row r="55" spans="1:6" x14ac:dyDescent="0.2">
      <c r="A55" s="42" t="s">
        <v>567</v>
      </c>
      <c r="B55" s="68">
        <v>0</v>
      </c>
      <c r="C55" s="68"/>
      <c r="D55" s="68"/>
      <c r="E55" s="68"/>
      <c r="F55" s="68"/>
    </row>
    <row r="56" spans="1:6" x14ac:dyDescent="0.2">
      <c r="A56" s="42"/>
      <c r="B56" s="68"/>
      <c r="C56" s="68"/>
      <c r="D56" s="68"/>
      <c r="E56" s="68"/>
      <c r="F56" s="68"/>
    </row>
    <row r="57" spans="1:6" x14ac:dyDescent="0.2">
      <c r="A57" s="42" t="s">
        <v>518</v>
      </c>
      <c r="B57" s="68"/>
      <c r="C57" s="68"/>
      <c r="D57" s="68"/>
      <c r="E57" s="68"/>
      <c r="F57" s="68"/>
    </row>
    <row r="58" spans="1:6" x14ac:dyDescent="0.2">
      <c r="A58" s="42" t="s">
        <v>480</v>
      </c>
      <c r="B58" s="68"/>
      <c r="C58" s="68"/>
      <c r="D58" s="68"/>
      <c r="E58" s="68"/>
      <c r="F58" s="68"/>
    </row>
    <row r="59" spans="1:6" x14ac:dyDescent="0.2">
      <c r="A59" s="42"/>
      <c r="B59" s="68"/>
      <c r="C59" s="68"/>
      <c r="D59" s="68"/>
      <c r="E59" s="68"/>
      <c r="F59" s="68"/>
    </row>
    <row r="60" spans="1:6" x14ac:dyDescent="0.2">
      <c r="A60" s="42" t="s">
        <v>478</v>
      </c>
      <c r="B60" s="68"/>
      <c r="C60" s="68"/>
      <c r="D60" s="68"/>
      <c r="E60" s="68">
        <v>0</v>
      </c>
      <c r="F60" s="68"/>
    </row>
    <row r="61" spans="1:6" ht="17" x14ac:dyDescent="0.2">
      <c r="A61" s="69" t="s">
        <v>98</v>
      </c>
      <c r="B61" s="70">
        <f>SUM(B51:B60)</f>
        <v>-47172.369999999995</v>
      </c>
      <c r="C61" s="68"/>
      <c r="D61" s="68"/>
      <c r="E61" s="68">
        <f>SUM(E50:E60)</f>
        <v>57582.2</v>
      </c>
      <c r="F61" s="68"/>
    </row>
    <row r="62" spans="1:6" ht="8" customHeight="1" x14ac:dyDescent="0.2"/>
    <row r="63" spans="1:6" x14ac:dyDescent="0.2">
      <c r="A63" s="44" t="s">
        <v>93</v>
      </c>
      <c r="B63" s="71"/>
      <c r="C63" s="72">
        <v>4193</v>
      </c>
      <c r="D63" s="72"/>
      <c r="E63" s="72"/>
      <c r="F63" s="72">
        <v>4586</v>
      </c>
    </row>
    <row r="64" spans="1:6" x14ac:dyDescent="0.2">
      <c r="A64" s="73" t="s">
        <v>94</v>
      </c>
      <c r="C64" s="74">
        <v>36.92</v>
      </c>
      <c r="D64" s="74"/>
      <c r="E64" s="74"/>
      <c r="F64" s="74">
        <v>36.950000000000003</v>
      </c>
    </row>
    <row r="65" spans="1:6" x14ac:dyDescent="0.2">
      <c r="A65" s="44" t="s">
        <v>95</v>
      </c>
      <c r="C65" s="75">
        <v>4.0999999999999996</v>
      </c>
      <c r="D65" s="75"/>
      <c r="E65" s="75"/>
      <c r="F65" s="75">
        <v>4.0999999999999996</v>
      </c>
    </row>
    <row r="66" spans="1:6" x14ac:dyDescent="0.2">
      <c r="A66" s="76" t="s">
        <v>96</v>
      </c>
      <c r="B66" s="71"/>
      <c r="C66" s="77">
        <v>8.98</v>
      </c>
      <c r="D66" s="77"/>
      <c r="E66" s="77"/>
      <c r="F66" s="77">
        <v>8.9499999999999993</v>
      </c>
    </row>
    <row r="67" spans="1:6" x14ac:dyDescent="0.2">
      <c r="A67" s="44" t="s">
        <v>97</v>
      </c>
      <c r="C67" s="78">
        <f>SUM(C64:C66)</f>
        <v>50</v>
      </c>
      <c r="D67" s="78"/>
      <c r="E67" s="78"/>
      <c r="F67" s="78">
        <f>SUM(F64:F66)</f>
        <v>50</v>
      </c>
    </row>
    <row r="68" spans="1:6" x14ac:dyDescent="0.2">
      <c r="A68" s="44"/>
      <c r="B68" s="78"/>
    </row>
  </sheetData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8"/>
  <sheetViews>
    <sheetView topLeftCell="A127" workbookViewId="0">
      <selection activeCell="I86" sqref="I86"/>
    </sheetView>
  </sheetViews>
  <sheetFormatPr baseColWidth="10" defaultColWidth="8.83203125" defaultRowHeight="15" x14ac:dyDescent="0.2"/>
  <cols>
    <col min="1" max="1" width="37.6640625" customWidth="1"/>
    <col min="2" max="2" width="16.6640625" customWidth="1"/>
    <col min="3" max="3" width="14.6640625" customWidth="1"/>
    <col min="6" max="6" width="9.5" bestFit="1" customWidth="1"/>
    <col min="8" max="8" width="9.5" bestFit="1" customWidth="1"/>
    <col min="10" max="10" width="28.83203125" customWidth="1"/>
    <col min="11" max="11" width="28.6640625" customWidth="1"/>
  </cols>
  <sheetData>
    <row r="1" spans="1:3" ht="18" x14ac:dyDescent="0.2">
      <c r="A1" s="253" t="s">
        <v>67</v>
      </c>
      <c r="B1" s="253"/>
      <c r="C1" s="253"/>
    </row>
    <row r="2" spans="1:3" ht="18" x14ac:dyDescent="0.2">
      <c r="A2" s="253" t="s">
        <v>581</v>
      </c>
      <c r="B2" s="253"/>
      <c r="C2" s="253"/>
    </row>
    <row r="3" spans="1:3" x14ac:dyDescent="0.2">
      <c r="A3" s="260" t="s">
        <v>595</v>
      </c>
      <c r="B3" s="260"/>
      <c r="C3" s="260"/>
    </row>
    <row r="5" spans="1:3" x14ac:dyDescent="0.2">
      <c r="A5" s="23"/>
      <c r="B5" s="23"/>
      <c r="C5" s="22" t="s">
        <v>382</v>
      </c>
    </row>
    <row r="6" spans="1:3" x14ac:dyDescent="0.2">
      <c r="A6" s="19" t="s">
        <v>0</v>
      </c>
      <c r="B6" s="19"/>
      <c r="C6" s="20"/>
    </row>
    <row r="7" spans="1:3" x14ac:dyDescent="0.2">
      <c r="A7" s="19" t="s">
        <v>179</v>
      </c>
      <c r="B7" s="19"/>
      <c r="C7" s="20"/>
    </row>
    <row r="8" spans="1:3" x14ac:dyDescent="0.2">
      <c r="A8" s="19" t="s">
        <v>180</v>
      </c>
      <c r="B8" s="19"/>
      <c r="C8" s="20"/>
    </row>
    <row r="9" spans="1:3" x14ac:dyDescent="0.2">
      <c r="A9" s="19" t="s">
        <v>181</v>
      </c>
      <c r="B9" s="18">
        <v>11795.51</v>
      </c>
      <c r="C9" s="18">
        <v>159000</v>
      </c>
    </row>
    <row r="10" spans="1:3" x14ac:dyDescent="0.2">
      <c r="A10" s="19" t="s">
        <v>183</v>
      </c>
      <c r="B10" s="21">
        <f>(B8)+(B9)</f>
        <v>11795.51</v>
      </c>
      <c r="C10" s="21">
        <f>(C8)+(C9)</f>
        <v>159000</v>
      </c>
    </row>
    <row r="11" spans="1:3" x14ac:dyDescent="0.2">
      <c r="A11" s="19" t="s">
        <v>366</v>
      </c>
      <c r="B11" s="20"/>
      <c r="C11" s="20"/>
    </row>
    <row r="12" spans="1:3" x14ac:dyDescent="0.2">
      <c r="A12" s="19" t="s">
        <v>184</v>
      </c>
      <c r="B12" s="20"/>
      <c r="C12" s="20"/>
    </row>
    <row r="13" spans="1:3" x14ac:dyDescent="0.2">
      <c r="A13" s="19" t="s">
        <v>185</v>
      </c>
      <c r="B13" s="18">
        <v>13383.49</v>
      </c>
      <c r="C13" s="18">
        <v>174800</v>
      </c>
    </row>
    <row r="14" spans="1:3" x14ac:dyDescent="0.2">
      <c r="A14" s="19" t="s">
        <v>187</v>
      </c>
      <c r="B14" s="21">
        <f>(B12)+(B13)</f>
        <v>13383.49</v>
      </c>
      <c r="C14" s="21">
        <f>(C12)+(C13)</f>
        <v>174800</v>
      </c>
    </row>
    <row r="15" spans="1:3" x14ac:dyDescent="0.2">
      <c r="A15" s="19" t="s">
        <v>367</v>
      </c>
      <c r="B15" s="21">
        <f>(B11)+(B14)</f>
        <v>13383.49</v>
      </c>
      <c r="C15" s="21">
        <f>(C11)+(C14)</f>
        <v>174800</v>
      </c>
    </row>
    <row r="16" spans="1:3" x14ac:dyDescent="0.2">
      <c r="A16" s="19" t="s">
        <v>188</v>
      </c>
      <c r="B16" s="20"/>
      <c r="C16" s="20"/>
    </row>
    <row r="17" spans="1:3" x14ac:dyDescent="0.2">
      <c r="A17" s="19" t="s">
        <v>189</v>
      </c>
      <c r="B17" s="20"/>
      <c r="C17" s="20"/>
    </row>
    <row r="18" spans="1:3" x14ac:dyDescent="0.2">
      <c r="A18" s="19" t="s">
        <v>190</v>
      </c>
      <c r="B18" s="18"/>
      <c r="C18" s="18">
        <v>0</v>
      </c>
    </row>
    <row r="19" spans="1:3" x14ac:dyDescent="0.2">
      <c r="A19" s="19" t="s">
        <v>191</v>
      </c>
      <c r="B19" s="21">
        <f>(B17)+(B18)</f>
        <v>0</v>
      </c>
      <c r="C19" s="21">
        <f>(C17)+(C18)</f>
        <v>0</v>
      </c>
    </row>
    <row r="20" spans="1:3" x14ac:dyDescent="0.2">
      <c r="A20" s="19" t="s">
        <v>192</v>
      </c>
      <c r="B20" s="20"/>
      <c r="C20" s="20"/>
    </row>
    <row r="21" spans="1:3" x14ac:dyDescent="0.2">
      <c r="A21" s="19" t="s">
        <v>411</v>
      </c>
      <c r="B21" s="20">
        <v>2.5499999999999998</v>
      </c>
      <c r="C21" s="20">
        <v>100</v>
      </c>
    </row>
    <row r="22" spans="1:3" x14ac:dyDescent="0.2">
      <c r="A22" s="19" t="s">
        <v>562</v>
      </c>
      <c r="B22" s="20"/>
    </row>
    <row r="23" spans="1:3" x14ac:dyDescent="0.2">
      <c r="A23" s="19" t="s">
        <v>193</v>
      </c>
      <c r="B23" s="18">
        <v>5000</v>
      </c>
      <c r="C23" s="18">
        <v>5000</v>
      </c>
    </row>
    <row r="24" spans="1:3" x14ac:dyDescent="0.2">
      <c r="A24" s="19" t="s">
        <v>194</v>
      </c>
      <c r="B24" s="21">
        <f>SUM(B21:B23)</f>
        <v>5002.55</v>
      </c>
      <c r="C24" s="21">
        <f>SUM(C21:C23)</f>
        <v>5100</v>
      </c>
    </row>
    <row r="25" spans="1:3" x14ac:dyDescent="0.2">
      <c r="A25" s="19" t="s">
        <v>195</v>
      </c>
      <c r="B25" s="21">
        <f>((B16)+(B19))+(B24)</f>
        <v>5002.55</v>
      </c>
      <c r="C25" s="21">
        <f>((C16)+(C19))+(C24)</f>
        <v>5100</v>
      </c>
    </row>
    <row r="26" spans="1:3" x14ac:dyDescent="0.2">
      <c r="A26" s="19"/>
      <c r="B26" s="18"/>
      <c r="C26" s="18"/>
    </row>
    <row r="27" spans="1:3" x14ac:dyDescent="0.2">
      <c r="A27" s="19"/>
      <c r="B27" s="18"/>
      <c r="C27" s="18"/>
    </row>
    <row r="28" spans="1:3" x14ac:dyDescent="0.2">
      <c r="A28" s="19" t="s">
        <v>196</v>
      </c>
      <c r="B28" s="21">
        <f>B10+B15+B25</f>
        <v>30181.55</v>
      </c>
      <c r="C28" s="21">
        <f>(((((C7)+(C10))+(C15))+(C25))+(C26))+(C27)</f>
        <v>338900</v>
      </c>
    </row>
    <row r="29" spans="1:3" x14ac:dyDescent="0.2">
      <c r="A29" s="19" t="s">
        <v>1</v>
      </c>
      <c r="B29" s="21"/>
      <c r="C29" s="21">
        <f>C28</f>
        <v>338900</v>
      </c>
    </row>
    <row r="30" spans="1:3" x14ac:dyDescent="0.2">
      <c r="A30" s="19" t="s">
        <v>2</v>
      </c>
      <c r="B30" s="21">
        <f>B28</f>
        <v>30181.55</v>
      </c>
      <c r="C30" s="40">
        <f>(C29)-(0)</f>
        <v>338900</v>
      </c>
    </row>
    <row r="31" spans="1:3" x14ac:dyDescent="0.2">
      <c r="A31" s="19" t="s">
        <v>210</v>
      </c>
      <c r="B31" s="20"/>
      <c r="C31" s="20"/>
    </row>
    <row r="32" spans="1:3" x14ac:dyDescent="0.2">
      <c r="A32" s="19" t="s">
        <v>242</v>
      </c>
      <c r="B32" s="20"/>
      <c r="C32" s="20"/>
    </row>
    <row r="33" spans="1:3" x14ac:dyDescent="0.2">
      <c r="A33" s="19" t="s">
        <v>243</v>
      </c>
      <c r="B33" s="20"/>
      <c r="C33" s="20"/>
    </row>
    <row r="34" spans="1:3" x14ac:dyDescent="0.2">
      <c r="A34" s="19" t="s">
        <v>244</v>
      </c>
      <c r="B34" s="20"/>
      <c r="C34" s="20"/>
    </row>
    <row r="35" spans="1:3" x14ac:dyDescent="0.2">
      <c r="A35" s="19" t="s">
        <v>385</v>
      </c>
      <c r="B35" s="20"/>
      <c r="C35" s="20"/>
    </row>
    <row r="36" spans="1:3" x14ac:dyDescent="0.2">
      <c r="A36" s="19" t="s">
        <v>396</v>
      </c>
      <c r="B36" s="100">
        <v>5307.68</v>
      </c>
      <c r="C36" s="18">
        <v>35000</v>
      </c>
    </row>
    <row r="37" spans="1:3" x14ac:dyDescent="0.2">
      <c r="A37" s="19" t="s">
        <v>392</v>
      </c>
      <c r="B37" s="39">
        <v>612</v>
      </c>
      <c r="C37">
        <v>4137.12</v>
      </c>
    </row>
    <row r="38" spans="1:3" x14ac:dyDescent="0.2">
      <c r="A38" s="19" t="s">
        <v>501</v>
      </c>
      <c r="B38" s="18">
        <v>2692.32</v>
      </c>
      <c r="C38" s="18">
        <v>17000</v>
      </c>
    </row>
    <row r="39" spans="1:3" x14ac:dyDescent="0.2">
      <c r="A39" s="19" t="s">
        <v>531</v>
      </c>
      <c r="B39" s="18"/>
      <c r="C39" s="18"/>
    </row>
    <row r="40" spans="1:3" x14ac:dyDescent="0.2">
      <c r="A40" s="19" t="s">
        <v>496</v>
      </c>
      <c r="B40" s="100">
        <v>5538.59</v>
      </c>
      <c r="C40" s="18">
        <v>21091.200000000001</v>
      </c>
    </row>
    <row r="41" spans="1:3" x14ac:dyDescent="0.2">
      <c r="A41" s="19" t="s">
        <v>388</v>
      </c>
      <c r="B41" s="100">
        <v>798.75</v>
      </c>
      <c r="C41" s="18">
        <v>3080</v>
      </c>
    </row>
    <row r="42" spans="1:3" x14ac:dyDescent="0.2">
      <c r="A42" s="19" t="s">
        <v>540</v>
      </c>
      <c r="B42" s="100"/>
      <c r="C42" s="18"/>
    </row>
    <row r="43" spans="1:3" x14ac:dyDescent="0.2">
      <c r="A43" s="19" t="s">
        <v>440</v>
      </c>
      <c r="B43" s="100"/>
      <c r="C43" s="18">
        <v>5000</v>
      </c>
    </row>
    <row r="44" spans="1:3" ht="14.5" customHeight="1" x14ac:dyDescent="0.2">
      <c r="A44" s="19" t="s">
        <v>450</v>
      </c>
      <c r="B44" s="18"/>
      <c r="C44" s="18">
        <v>0</v>
      </c>
    </row>
    <row r="45" spans="1:3" ht="14.5" customHeight="1" x14ac:dyDescent="0.2">
      <c r="A45" s="19" t="s">
        <v>573</v>
      </c>
      <c r="B45" s="18">
        <v>700</v>
      </c>
      <c r="C45" s="18">
        <v>1300</v>
      </c>
    </row>
    <row r="46" spans="1:3" x14ac:dyDescent="0.2">
      <c r="A46" s="19" t="s">
        <v>403</v>
      </c>
      <c r="B46" s="18"/>
      <c r="C46" s="18"/>
    </row>
    <row r="47" spans="1:3" ht="11.5" customHeight="1" x14ac:dyDescent="0.2">
      <c r="A47" s="19"/>
      <c r="B47" s="18"/>
      <c r="C47" s="18"/>
    </row>
    <row r="48" spans="1:3" x14ac:dyDescent="0.2">
      <c r="A48" s="19" t="s">
        <v>386</v>
      </c>
      <c r="B48" s="21">
        <f>SUM(B36:B47)</f>
        <v>15649.34</v>
      </c>
      <c r="C48" s="21">
        <f>SUM(C35:C47)</f>
        <v>86608.320000000007</v>
      </c>
    </row>
    <row r="49" spans="1:6" x14ac:dyDescent="0.2">
      <c r="A49" s="19" t="s">
        <v>245</v>
      </c>
      <c r="B49" s="21">
        <f>(B34)+(B48)</f>
        <v>15649.34</v>
      </c>
      <c r="C49" s="21">
        <f>(C34)+(C48)</f>
        <v>86608.320000000007</v>
      </c>
    </row>
    <row r="50" spans="1:6" x14ac:dyDescent="0.2">
      <c r="A50" s="19" t="s">
        <v>246</v>
      </c>
      <c r="B50" s="20"/>
      <c r="C50" s="20"/>
    </row>
    <row r="51" spans="1:6" x14ac:dyDescent="0.2">
      <c r="A51" s="19" t="s">
        <v>247</v>
      </c>
      <c r="B51" s="100">
        <v>2465.66</v>
      </c>
      <c r="C51" s="18">
        <v>15621.72</v>
      </c>
      <c r="E51">
        <v>0</v>
      </c>
    </row>
    <row r="52" spans="1:6" x14ac:dyDescent="0.2">
      <c r="A52" s="19" t="s">
        <v>488</v>
      </c>
      <c r="B52" s="100"/>
      <c r="C52" s="18">
        <v>2311.1999999999998</v>
      </c>
    </row>
    <row r="53" spans="1:6" x14ac:dyDescent="0.2">
      <c r="A53" s="19" t="s">
        <v>404</v>
      </c>
      <c r="B53" s="100">
        <v>215.05</v>
      </c>
      <c r="C53" s="18">
        <v>1326.05</v>
      </c>
    </row>
    <row r="54" spans="1:6" x14ac:dyDescent="0.2">
      <c r="A54" s="19" t="s">
        <v>343</v>
      </c>
      <c r="B54" s="100"/>
      <c r="C54" s="18">
        <v>1700</v>
      </c>
    </row>
    <row r="55" spans="1:6" x14ac:dyDescent="0.2">
      <c r="A55" s="19"/>
      <c r="B55" s="18"/>
    </row>
    <row r="56" spans="1:6" x14ac:dyDescent="0.2">
      <c r="A56" s="19" t="s">
        <v>248</v>
      </c>
      <c r="B56" s="21">
        <f>SUM(B51:B55)</f>
        <v>2680.71</v>
      </c>
      <c r="C56" s="21">
        <f>SUM(C51:C54)</f>
        <v>20958.969999999998</v>
      </c>
    </row>
    <row r="57" spans="1:6" x14ac:dyDescent="0.2">
      <c r="A57" s="19" t="s">
        <v>441</v>
      </c>
      <c r="B57" s="20"/>
      <c r="C57" s="20"/>
    </row>
    <row r="58" spans="1:6" x14ac:dyDescent="0.2">
      <c r="A58" s="19" t="s">
        <v>442</v>
      </c>
      <c r="B58" s="93">
        <v>2333.21</v>
      </c>
      <c r="C58" s="18">
        <v>22144.2</v>
      </c>
    </row>
    <row r="59" spans="1:6" x14ac:dyDescent="0.2">
      <c r="A59" s="19" t="s">
        <v>443</v>
      </c>
      <c r="B59" s="93">
        <v>1926.32</v>
      </c>
      <c r="C59" s="18">
        <v>11072.1</v>
      </c>
    </row>
    <row r="60" spans="1:6" x14ac:dyDescent="0.2">
      <c r="A60" s="19" t="s">
        <v>444</v>
      </c>
      <c r="B60" s="18">
        <v>615.78</v>
      </c>
      <c r="C60" s="18">
        <v>2541.0500000000002</v>
      </c>
    </row>
    <row r="61" spans="1:6" x14ac:dyDescent="0.2">
      <c r="A61" s="19" t="s">
        <v>249</v>
      </c>
      <c r="B61" s="18"/>
      <c r="C61" s="18"/>
    </row>
    <row r="62" spans="1:6" x14ac:dyDescent="0.2">
      <c r="A62" s="19" t="s">
        <v>530</v>
      </c>
      <c r="B62" s="18"/>
      <c r="C62" s="18">
        <v>1200</v>
      </c>
    </row>
    <row r="63" spans="1:6" x14ac:dyDescent="0.2">
      <c r="A63" s="19" t="s">
        <v>357</v>
      </c>
      <c r="B63" s="18"/>
      <c r="C63" s="18">
        <v>1000</v>
      </c>
      <c r="F63" s="33"/>
    </row>
    <row r="64" spans="1:6" x14ac:dyDescent="0.2">
      <c r="A64" s="19" t="s">
        <v>428</v>
      </c>
      <c r="B64" s="21">
        <f>SUM(B58:B63)</f>
        <v>4875.3099999999995</v>
      </c>
      <c r="C64" s="21">
        <f>SUM(C58:C63)</f>
        <v>37957.350000000006</v>
      </c>
    </row>
    <row r="65" spans="1:5" x14ac:dyDescent="0.2">
      <c r="B65" s="20"/>
      <c r="C65" s="20"/>
    </row>
    <row r="66" spans="1:5" x14ac:dyDescent="0.2">
      <c r="A66" s="19"/>
      <c r="B66" s="29"/>
      <c r="C66" s="29"/>
    </row>
    <row r="67" spans="1:5" x14ac:dyDescent="0.2">
      <c r="A67" s="19" t="s">
        <v>250</v>
      </c>
      <c r="B67" s="20"/>
      <c r="C67" s="20"/>
    </row>
    <row r="68" spans="1:5" x14ac:dyDescent="0.2">
      <c r="A68" s="19" t="s">
        <v>251</v>
      </c>
      <c r="B68" s="18">
        <v>271.07</v>
      </c>
      <c r="C68" s="18">
        <v>550</v>
      </c>
    </row>
    <row r="69" spans="1:5" x14ac:dyDescent="0.2">
      <c r="A69" s="19" t="s">
        <v>344</v>
      </c>
      <c r="B69" s="18">
        <v>336.94</v>
      </c>
      <c r="C69" s="18">
        <v>2485</v>
      </c>
    </row>
    <row r="70" spans="1:5" x14ac:dyDescent="0.2">
      <c r="A70" s="19" t="s">
        <v>536</v>
      </c>
      <c r="B70" s="18"/>
      <c r="C70" s="18"/>
    </row>
    <row r="71" spans="1:5" x14ac:dyDescent="0.2">
      <c r="A71" s="19" t="s">
        <v>542</v>
      </c>
      <c r="B71" s="18">
        <v>128.32</v>
      </c>
      <c r="C71" s="18"/>
    </row>
    <row r="72" spans="1:5" x14ac:dyDescent="0.2">
      <c r="A72" s="19" t="s">
        <v>535</v>
      </c>
      <c r="B72" s="18"/>
      <c r="C72" s="18"/>
    </row>
    <row r="73" spans="1:5" x14ac:dyDescent="0.2">
      <c r="A73" s="19" t="s">
        <v>345</v>
      </c>
      <c r="B73" s="18"/>
      <c r="C73" s="18"/>
    </row>
    <row r="74" spans="1:5" x14ac:dyDescent="0.2">
      <c r="A74" s="19" t="s">
        <v>252</v>
      </c>
      <c r="B74" s="21">
        <f>SUM(B68:B73)</f>
        <v>736.32999999999993</v>
      </c>
      <c r="C74" s="21">
        <f>(((C67)+(C68))+(C69))+(C73)</f>
        <v>3035</v>
      </c>
    </row>
    <row r="75" spans="1:5" x14ac:dyDescent="0.2">
      <c r="A75" s="19" t="s">
        <v>253</v>
      </c>
      <c r="B75" s="21">
        <f>B49+B56+B64+B74</f>
        <v>23941.690000000002</v>
      </c>
      <c r="C75" s="21">
        <f>((((C33)+(C49))+(C56))+(C64))+(C74)</f>
        <v>148559.64000000001</v>
      </c>
    </row>
    <row r="76" spans="1:5" x14ac:dyDescent="0.2">
      <c r="A76" s="19" t="s">
        <v>346</v>
      </c>
      <c r="B76" s="20"/>
      <c r="C76" s="20"/>
    </row>
    <row r="77" spans="1:5" x14ac:dyDescent="0.2">
      <c r="A77" s="19" t="s">
        <v>347</v>
      </c>
      <c r="B77" s="20"/>
      <c r="C77" s="20"/>
    </row>
    <row r="78" spans="1:5" x14ac:dyDescent="0.2">
      <c r="A78" s="19" t="s">
        <v>348</v>
      </c>
      <c r="B78" s="18">
        <v>0</v>
      </c>
      <c r="C78" s="18">
        <v>4000</v>
      </c>
      <c r="E78" s="14"/>
    </row>
    <row r="79" spans="1:5" x14ac:dyDescent="0.2">
      <c r="A79" s="19" t="s">
        <v>349</v>
      </c>
      <c r="B79" s="21">
        <f>(B77)+(B78)</f>
        <v>0</v>
      </c>
      <c r="C79" s="21">
        <f>(C77)+(C78)</f>
        <v>4000</v>
      </c>
    </row>
    <row r="80" spans="1:5" x14ac:dyDescent="0.2">
      <c r="A80" s="19" t="s">
        <v>390</v>
      </c>
      <c r="B80" s="18"/>
      <c r="C80" s="18"/>
    </row>
    <row r="81" spans="1:5" ht="18.5" customHeight="1" x14ac:dyDescent="0.2">
      <c r="A81" s="19" t="s">
        <v>473</v>
      </c>
      <c r="B81" s="18"/>
      <c r="C81" s="18"/>
    </row>
    <row r="82" spans="1:5" x14ac:dyDescent="0.2">
      <c r="A82" s="19" t="s">
        <v>350</v>
      </c>
      <c r="B82" s="18">
        <v>15000</v>
      </c>
      <c r="C82" s="18">
        <v>90000</v>
      </c>
    </row>
    <row r="83" spans="1:5" x14ac:dyDescent="0.2">
      <c r="A83" s="19" t="s">
        <v>489</v>
      </c>
      <c r="B83" s="18"/>
      <c r="C83" s="18"/>
    </row>
    <row r="84" spans="1:5" x14ac:dyDescent="0.2">
      <c r="A84" s="19" t="s">
        <v>351</v>
      </c>
      <c r="B84" s="20"/>
      <c r="C84" s="20"/>
    </row>
    <row r="85" spans="1:5" x14ac:dyDescent="0.2">
      <c r="A85" s="19" t="s">
        <v>529</v>
      </c>
      <c r="B85" s="20"/>
      <c r="C85" s="20"/>
    </row>
    <row r="86" spans="1:5" x14ac:dyDescent="0.2">
      <c r="A86" s="19" t="s">
        <v>369</v>
      </c>
      <c r="B86" s="18"/>
      <c r="C86" s="18">
        <v>2000</v>
      </c>
    </row>
    <row r="87" spans="1:5" x14ac:dyDescent="0.2">
      <c r="A87" s="19" t="s">
        <v>370</v>
      </c>
      <c r="B87" s="18"/>
      <c r="C87" s="18">
        <v>2000</v>
      </c>
      <c r="E87" s="14"/>
    </row>
    <row r="88" spans="1:5" x14ac:dyDescent="0.2">
      <c r="A88" s="19" t="s">
        <v>371</v>
      </c>
      <c r="B88" s="18">
        <v>58.28</v>
      </c>
      <c r="C88" s="18">
        <v>1000</v>
      </c>
    </row>
    <row r="89" spans="1:5" x14ac:dyDescent="0.2">
      <c r="A89" s="19" t="s">
        <v>352</v>
      </c>
      <c r="B89" s="21">
        <f>(((B84)+(B86))+(B87))+(B88)</f>
        <v>58.28</v>
      </c>
      <c r="C89" s="21">
        <f>SUM(C85:C88)</f>
        <v>5000</v>
      </c>
    </row>
    <row r="90" spans="1:5" x14ac:dyDescent="0.2">
      <c r="A90" s="19" t="s">
        <v>353</v>
      </c>
      <c r="B90" s="21">
        <f>(((((B76)+(B79))+(B80))+(B81))+(B82))+B83+(B89)</f>
        <v>15058.28</v>
      </c>
      <c r="C90" s="21">
        <f>(((((C76)+(C79))+(C80))+(C81))+(C82))+(C89)</f>
        <v>99000</v>
      </c>
    </row>
    <row r="91" spans="1:5" x14ac:dyDescent="0.2">
      <c r="A91" s="19" t="s">
        <v>254</v>
      </c>
      <c r="B91" s="20"/>
      <c r="C91" s="20"/>
    </row>
    <row r="92" spans="1:5" x14ac:dyDescent="0.2">
      <c r="A92" s="19" t="s">
        <v>255</v>
      </c>
      <c r="B92" s="20"/>
      <c r="C92" s="20"/>
    </row>
    <row r="93" spans="1:5" x14ac:dyDescent="0.2">
      <c r="A93" s="19" t="s">
        <v>256</v>
      </c>
      <c r="B93" s="18"/>
      <c r="C93" s="18"/>
    </row>
    <row r="94" spans="1:5" x14ac:dyDescent="0.2">
      <c r="A94" s="19" t="s">
        <v>257</v>
      </c>
      <c r="B94" s="28"/>
      <c r="C94" s="18">
        <v>0</v>
      </c>
    </row>
    <row r="95" spans="1:5" x14ac:dyDescent="0.2">
      <c r="A95" s="19" t="s">
        <v>258</v>
      </c>
      <c r="B95" s="18">
        <v>142.58000000000001</v>
      </c>
      <c r="C95" s="18">
        <v>900</v>
      </c>
    </row>
    <row r="96" spans="1:5" x14ac:dyDescent="0.2">
      <c r="A96" s="19" t="s">
        <v>427</v>
      </c>
      <c r="B96" s="18">
        <v>66</v>
      </c>
      <c r="C96" s="18">
        <v>100</v>
      </c>
    </row>
    <row r="97" spans="1:8" x14ac:dyDescent="0.2">
      <c r="A97" s="19" t="s">
        <v>259</v>
      </c>
      <c r="B97" s="18">
        <v>100</v>
      </c>
      <c r="C97" s="18">
        <v>700</v>
      </c>
    </row>
    <row r="98" spans="1:8" x14ac:dyDescent="0.2">
      <c r="A98" s="19" t="s">
        <v>260</v>
      </c>
      <c r="B98" s="18"/>
      <c r="C98" s="18"/>
    </row>
    <row r="99" spans="1:8" x14ac:dyDescent="0.2">
      <c r="A99" s="19" t="s">
        <v>261</v>
      </c>
      <c r="B99" s="41"/>
      <c r="C99" s="18">
        <v>2000</v>
      </c>
    </row>
    <row r="100" spans="1:8" x14ac:dyDescent="0.2">
      <c r="A100" s="19" t="s">
        <v>262</v>
      </c>
      <c r="B100" s="100">
        <v>735.57</v>
      </c>
      <c r="C100" s="18">
        <v>6000</v>
      </c>
    </row>
    <row r="101" spans="1:8" x14ac:dyDescent="0.2">
      <c r="A101" s="19" t="s">
        <v>372</v>
      </c>
      <c r="B101" s="100"/>
      <c r="C101" s="18">
        <v>1000</v>
      </c>
    </row>
    <row r="102" spans="1:8" x14ac:dyDescent="0.2">
      <c r="A102" s="19" t="s">
        <v>263</v>
      </c>
      <c r="B102" s="18"/>
      <c r="C102" s="18">
        <v>615</v>
      </c>
    </row>
    <row r="103" spans="1:8" x14ac:dyDescent="0.2">
      <c r="A103" s="19" t="s">
        <v>264</v>
      </c>
      <c r="B103" s="41">
        <v>51.8</v>
      </c>
      <c r="C103" s="18">
        <v>2000</v>
      </c>
    </row>
    <row r="104" spans="1:8" x14ac:dyDescent="0.2">
      <c r="A104" s="19" t="s">
        <v>445</v>
      </c>
      <c r="B104" s="18">
        <v>55</v>
      </c>
      <c r="C104" s="18">
        <v>1050</v>
      </c>
    </row>
    <row r="105" spans="1:8" x14ac:dyDescent="0.2">
      <c r="A105" s="19" t="s">
        <v>379</v>
      </c>
      <c r="B105" s="18"/>
      <c r="C105" s="18">
        <v>3000</v>
      </c>
    </row>
    <row r="106" spans="1:8" x14ac:dyDescent="0.2">
      <c r="A106" s="19" t="s">
        <v>576</v>
      </c>
      <c r="B106" s="18"/>
      <c r="C106" s="18">
        <v>3204</v>
      </c>
    </row>
    <row r="107" spans="1:8" x14ac:dyDescent="0.2">
      <c r="A107" s="19" t="s">
        <v>446</v>
      </c>
      <c r="B107" s="18">
        <v>350</v>
      </c>
      <c r="C107" s="18">
        <v>1050</v>
      </c>
    </row>
    <row r="108" spans="1:8" x14ac:dyDescent="0.2">
      <c r="A108" s="19" t="s">
        <v>491</v>
      </c>
      <c r="B108" s="18"/>
      <c r="C108" s="18"/>
    </row>
    <row r="109" spans="1:8" x14ac:dyDescent="0.2">
      <c r="A109" s="19" t="s">
        <v>265</v>
      </c>
      <c r="B109" s="18"/>
      <c r="C109" s="18"/>
    </row>
    <row r="110" spans="1:8" x14ac:dyDescent="0.2">
      <c r="A110" s="19" t="s">
        <v>266</v>
      </c>
      <c r="B110" s="21">
        <f>SUM(B93:B109)</f>
        <v>1500.95</v>
      </c>
      <c r="C110" s="21">
        <f>SUM(C93:C109)</f>
        <v>21619</v>
      </c>
      <c r="H110" s="33"/>
    </row>
    <row r="111" spans="1:8" x14ac:dyDescent="0.2">
      <c r="A111" s="19" t="s">
        <v>267</v>
      </c>
      <c r="B111" s="20"/>
      <c r="C111" s="20"/>
    </row>
    <row r="112" spans="1:8" x14ac:dyDescent="0.2">
      <c r="A112" s="19" t="s">
        <v>268</v>
      </c>
      <c r="B112" s="18">
        <v>1298.06</v>
      </c>
      <c r="C112" s="18">
        <v>5000</v>
      </c>
    </row>
    <row r="113" spans="1:3" x14ac:dyDescent="0.2">
      <c r="A113" s="19" t="s">
        <v>354</v>
      </c>
      <c r="B113" s="18"/>
      <c r="C113" s="18">
        <v>14858</v>
      </c>
    </row>
    <row r="114" spans="1:3" x14ac:dyDescent="0.2">
      <c r="A114" s="19" t="s">
        <v>355</v>
      </c>
      <c r="B114" s="18">
        <v>43143.03</v>
      </c>
      <c r="C114" s="18">
        <v>31394.080000000002</v>
      </c>
    </row>
    <row r="115" spans="1:3" x14ac:dyDescent="0.2">
      <c r="A115" s="19" t="s">
        <v>373</v>
      </c>
      <c r="B115" s="18"/>
      <c r="C115" s="18">
        <v>10000</v>
      </c>
    </row>
    <row r="116" spans="1:3" x14ac:dyDescent="0.2">
      <c r="A116" s="19" t="s">
        <v>269</v>
      </c>
      <c r="B116" s="18"/>
      <c r="C116" s="18">
        <v>5000</v>
      </c>
    </row>
    <row r="117" spans="1:3" x14ac:dyDescent="0.2">
      <c r="A117" s="19" t="s">
        <v>356</v>
      </c>
      <c r="B117" s="18"/>
      <c r="C117" s="18">
        <v>500</v>
      </c>
    </row>
    <row r="118" spans="1:3" x14ac:dyDescent="0.2">
      <c r="A118" s="19" t="s">
        <v>429</v>
      </c>
      <c r="B118" s="18"/>
      <c r="C118" s="18"/>
    </row>
    <row r="119" spans="1:3" x14ac:dyDescent="0.2">
      <c r="A119" s="19" t="s">
        <v>399</v>
      </c>
      <c r="B119" s="18"/>
      <c r="C119" s="18"/>
    </row>
    <row r="120" spans="1:3" x14ac:dyDescent="0.2">
      <c r="A120" s="19" t="s">
        <v>280</v>
      </c>
      <c r="B120" s="20"/>
      <c r="C120" s="20"/>
    </row>
    <row r="121" spans="1:3" x14ac:dyDescent="0.2">
      <c r="A121" s="19" t="s">
        <v>281</v>
      </c>
      <c r="B121" s="18">
        <v>473.64</v>
      </c>
      <c r="C121" s="18">
        <v>3000</v>
      </c>
    </row>
    <row r="122" spans="1:3" x14ac:dyDescent="0.2">
      <c r="A122" s="19" t="s">
        <v>412</v>
      </c>
      <c r="B122" s="18"/>
      <c r="C122" s="18"/>
    </row>
    <row r="123" spans="1:3" x14ac:dyDescent="0.2">
      <c r="A123" s="19" t="s">
        <v>380</v>
      </c>
      <c r="B123" s="18">
        <v>510</v>
      </c>
      <c r="C123" s="18">
        <v>5000</v>
      </c>
    </row>
    <row r="124" spans="1:3" x14ac:dyDescent="0.2">
      <c r="A124" s="19" t="s">
        <v>393</v>
      </c>
      <c r="B124" s="21">
        <f>SUM(B121:B123)</f>
        <v>983.64</v>
      </c>
      <c r="C124" s="21">
        <f>((C120)+(C121))+(C123)</f>
        <v>8000</v>
      </c>
    </row>
    <row r="125" spans="1:3" x14ac:dyDescent="0.2">
      <c r="A125" s="19"/>
      <c r="B125" s="18"/>
      <c r="C125" s="18"/>
    </row>
    <row r="126" spans="1:3" x14ac:dyDescent="0.2">
      <c r="A126" s="19" t="s">
        <v>365</v>
      </c>
      <c r="B126" s="20"/>
      <c r="C126" s="20"/>
    </row>
    <row r="127" spans="1:3" x14ac:dyDescent="0.2">
      <c r="A127" s="19" t="s">
        <v>381</v>
      </c>
      <c r="B127" s="18"/>
      <c r="C127" s="18">
        <v>7500</v>
      </c>
    </row>
    <row r="128" spans="1:3" x14ac:dyDescent="0.2">
      <c r="A128" s="19" t="s">
        <v>394</v>
      </c>
      <c r="B128" s="21">
        <f>(B126)+(B127)</f>
        <v>0</v>
      </c>
      <c r="C128" s="21">
        <f>(C126)+(C127)</f>
        <v>7500</v>
      </c>
    </row>
    <row r="129" spans="1:3" x14ac:dyDescent="0.2">
      <c r="A129" s="19" t="s">
        <v>270</v>
      </c>
      <c r="B129" s="40">
        <f>B112+B113+B114+B115+B116+B117+B124+B127</f>
        <v>45424.729999999996</v>
      </c>
      <c r="C129" s="40">
        <f>C112+C113+C114+C115+C116+C117+C118+C119+C124+C127</f>
        <v>82252.08</v>
      </c>
    </row>
    <row r="130" spans="1:3" x14ac:dyDescent="0.2">
      <c r="A130" s="19" t="s">
        <v>271</v>
      </c>
      <c r="B130" s="21">
        <f>((B91)+(B110))+(B129)</f>
        <v>46925.679999999993</v>
      </c>
      <c r="C130" s="21">
        <f>((C91)+(C110))+(C129)</f>
        <v>103871.08</v>
      </c>
    </row>
    <row r="131" spans="1:3" x14ac:dyDescent="0.2">
      <c r="A131" s="19" t="s">
        <v>272</v>
      </c>
      <c r="B131" s="21">
        <f>(((B32)+(B75))+(B90))+(B130)</f>
        <v>85925.65</v>
      </c>
      <c r="C131" s="21">
        <f>(((C32)+(C75))+(C90))+(C130)</f>
        <v>351430.72000000003</v>
      </c>
    </row>
    <row r="132" spans="1:3" x14ac:dyDescent="0.2">
      <c r="A132" s="19" t="s">
        <v>273</v>
      </c>
      <c r="B132" s="40">
        <f>B131</f>
        <v>85925.65</v>
      </c>
      <c r="C132" s="21">
        <f>C131</f>
        <v>351430.72000000003</v>
      </c>
    </row>
    <row r="133" spans="1:3" x14ac:dyDescent="0.2">
      <c r="A133" s="19" t="s">
        <v>274</v>
      </c>
      <c r="B133" s="21">
        <f>B30-B132</f>
        <v>-55744.099999999991</v>
      </c>
      <c r="C133" s="21">
        <f>(C30)-(C132)</f>
        <v>-12530.72000000003</v>
      </c>
    </row>
    <row r="134" spans="1:3" x14ac:dyDescent="0.2">
      <c r="A134" s="19" t="s">
        <v>3</v>
      </c>
      <c r="B134" s="98">
        <f>(B133)+(0)</f>
        <v>-55744.099999999991</v>
      </c>
      <c r="C134" s="21">
        <f>(C133)+(0)</f>
        <v>-12530.72000000003</v>
      </c>
    </row>
    <row r="135" spans="1:3" x14ac:dyDescent="0.2">
      <c r="A135" s="19"/>
      <c r="B135" s="19"/>
      <c r="C135" s="20"/>
    </row>
    <row r="138" spans="1:3" x14ac:dyDescent="0.2">
      <c r="A138" t="s">
        <v>477</v>
      </c>
      <c r="B138" s="14">
        <f>'Camp YTD Budget'!C189</f>
        <v>9176.8699999999953</v>
      </c>
    </row>
    <row r="139" spans="1:3" x14ac:dyDescent="0.2">
      <c r="B139" s="14"/>
    </row>
    <row r="140" spans="1:3" x14ac:dyDescent="0.2">
      <c r="A140" t="s">
        <v>479</v>
      </c>
      <c r="B140" s="14">
        <f>'Camp YTD Budget'!B192</f>
        <v>0</v>
      </c>
    </row>
    <row r="141" spans="1:3" x14ac:dyDescent="0.2">
      <c r="A141" t="s">
        <v>472</v>
      </c>
      <c r="B141" s="14">
        <f>'Camp YTD Budget'!B194</f>
        <v>0</v>
      </c>
    </row>
    <row r="142" spans="1:3" x14ac:dyDescent="0.2">
      <c r="A142" t="s">
        <v>475</v>
      </c>
      <c r="B142" s="14"/>
    </row>
    <row r="143" spans="1:3" x14ac:dyDescent="0.2">
      <c r="A143" t="s">
        <v>476</v>
      </c>
      <c r="B143" s="14">
        <f>'Camp YTD Budget'!B195</f>
        <v>-605.14</v>
      </c>
    </row>
    <row r="144" spans="1:3" x14ac:dyDescent="0.2">
      <c r="B144" s="14"/>
    </row>
    <row r="145" spans="1:2" ht="16" thickBot="1" x14ac:dyDescent="0.25">
      <c r="A145" s="26" t="s">
        <v>402</v>
      </c>
      <c r="B145" s="97">
        <f>SUM(B134:B143)</f>
        <v>-47172.369999999995</v>
      </c>
    </row>
    <row r="146" spans="1:2" ht="16" thickTop="1" x14ac:dyDescent="0.2">
      <c r="B146" s="14"/>
    </row>
    <row r="147" spans="1:2" x14ac:dyDescent="0.2">
      <c r="B147" s="14"/>
    </row>
    <row r="148" spans="1:2" x14ac:dyDescent="0.2">
      <c r="B148" s="14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4"/>
  <sheetViews>
    <sheetView zoomScale="96" zoomScaleNormal="96" workbookViewId="0">
      <pane ySplit="5" topLeftCell="A10" activePane="bottomLeft" state="frozen"/>
      <selection pane="bottomLeft" activeCell="G10" sqref="G10"/>
    </sheetView>
  </sheetViews>
  <sheetFormatPr baseColWidth="10" defaultColWidth="8.83203125" defaultRowHeight="15" x14ac:dyDescent="0.2"/>
  <cols>
    <col min="1" max="1" width="52.33203125" customWidth="1"/>
    <col min="2" max="2" width="13.6640625" customWidth="1"/>
    <col min="3" max="3" width="18.6640625" customWidth="1"/>
    <col min="4" max="4" width="9.6640625" bestFit="1" customWidth="1"/>
    <col min="5" max="5" width="19" customWidth="1"/>
    <col min="6" max="6" width="16.5" style="95" customWidth="1"/>
    <col min="7" max="7" width="28" customWidth="1"/>
    <col min="10" max="10" width="10.5" bestFit="1" customWidth="1"/>
  </cols>
  <sheetData>
    <row r="1" spans="1:3" ht="18" x14ac:dyDescent="0.2">
      <c r="A1" s="253" t="s">
        <v>67</v>
      </c>
      <c r="B1" s="253"/>
      <c r="C1" s="254"/>
    </row>
    <row r="2" spans="1:3" ht="18" x14ac:dyDescent="0.2">
      <c r="A2" s="253" t="s">
        <v>574</v>
      </c>
      <c r="B2" s="253"/>
      <c r="C2" s="254"/>
    </row>
    <row r="3" spans="1:3" x14ac:dyDescent="0.2">
      <c r="A3" s="260" t="s">
        <v>595</v>
      </c>
      <c r="B3" s="260"/>
      <c r="C3" s="260"/>
    </row>
    <row r="4" spans="1:3" ht="3.5" customHeight="1" x14ac:dyDescent="0.2"/>
    <row r="5" spans="1:3" x14ac:dyDescent="0.2">
      <c r="A5" s="23"/>
      <c r="B5" s="22" t="s">
        <v>382</v>
      </c>
      <c r="C5" s="22" t="s">
        <v>382</v>
      </c>
    </row>
    <row r="6" spans="1:3" x14ac:dyDescent="0.2">
      <c r="A6" s="23"/>
      <c r="B6" s="79"/>
      <c r="C6" s="79"/>
    </row>
    <row r="7" spans="1:3" x14ac:dyDescent="0.2">
      <c r="A7" s="19" t="s">
        <v>0</v>
      </c>
      <c r="B7" s="20"/>
      <c r="C7" s="20"/>
    </row>
    <row r="8" spans="1:3" x14ac:dyDescent="0.2">
      <c r="A8" s="19" t="s">
        <v>197</v>
      </c>
      <c r="B8" s="20"/>
      <c r="C8" s="20"/>
    </row>
    <row r="9" spans="1:3" x14ac:dyDescent="0.2">
      <c r="A9" s="19" t="s">
        <v>198</v>
      </c>
      <c r="B9" s="20"/>
      <c r="C9" s="20"/>
    </row>
    <row r="10" spans="1:3" x14ac:dyDescent="0.2">
      <c r="A10" s="19" t="s">
        <v>199</v>
      </c>
      <c r="B10" s="18">
        <v>17305.310000000001</v>
      </c>
      <c r="C10" s="18">
        <v>122000</v>
      </c>
    </row>
    <row r="11" spans="1:3" x14ac:dyDescent="0.2">
      <c r="A11" s="19" t="s">
        <v>200</v>
      </c>
      <c r="B11" s="18"/>
      <c r="C11" s="18">
        <v>45000</v>
      </c>
    </row>
    <row r="12" spans="1:3" x14ac:dyDescent="0.2">
      <c r="A12" s="19" t="s">
        <v>434</v>
      </c>
      <c r="B12" s="18"/>
      <c r="C12" s="18">
        <v>5000</v>
      </c>
    </row>
    <row r="13" spans="1:3" x14ac:dyDescent="0.2">
      <c r="A13" s="19" t="s">
        <v>435</v>
      </c>
      <c r="B13" s="18"/>
      <c r="C13" s="18">
        <v>4500</v>
      </c>
    </row>
    <row r="14" spans="1:3" x14ac:dyDescent="0.2">
      <c r="B14" s="18"/>
      <c r="C14" s="18"/>
    </row>
    <row r="15" spans="1:3" x14ac:dyDescent="0.2">
      <c r="A15" s="19" t="s">
        <v>201</v>
      </c>
      <c r="B15" s="21">
        <f>SUM(B10:B14)</f>
        <v>17305.310000000001</v>
      </c>
      <c r="C15" s="21">
        <f>SUM(C10:C14)</f>
        <v>176500</v>
      </c>
    </row>
    <row r="16" spans="1:3" x14ac:dyDescent="0.2">
      <c r="A16" s="19" t="s">
        <v>202</v>
      </c>
      <c r="B16" s="20"/>
      <c r="C16" s="20"/>
    </row>
    <row r="17" spans="1:3" x14ac:dyDescent="0.2">
      <c r="A17" s="19" t="s">
        <v>203</v>
      </c>
      <c r="B17" s="20"/>
      <c r="C17" s="20"/>
    </row>
    <row r="18" spans="1:3" x14ac:dyDescent="0.2">
      <c r="A18" s="19" t="s">
        <v>363</v>
      </c>
      <c r="B18" s="93">
        <v>2607.5</v>
      </c>
      <c r="C18" s="18">
        <v>25000</v>
      </c>
    </row>
    <row r="19" spans="1:3" x14ac:dyDescent="0.2">
      <c r="A19" s="19" t="s">
        <v>204</v>
      </c>
      <c r="B19" s="93"/>
      <c r="C19" s="18">
        <v>5500</v>
      </c>
    </row>
    <row r="20" spans="1:3" x14ac:dyDescent="0.2">
      <c r="A20" s="19" t="s">
        <v>205</v>
      </c>
      <c r="B20" s="93">
        <v>2500</v>
      </c>
      <c r="C20" s="18">
        <v>25000</v>
      </c>
    </row>
    <row r="21" spans="1:3" x14ac:dyDescent="0.2">
      <c r="A21" s="19" t="s">
        <v>378</v>
      </c>
      <c r="B21" s="93">
        <v>2043</v>
      </c>
      <c r="C21" s="18">
        <v>5500</v>
      </c>
    </row>
    <row r="22" spans="1:3" x14ac:dyDescent="0.2">
      <c r="A22" s="19" t="s">
        <v>282</v>
      </c>
      <c r="B22" s="18"/>
      <c r="C22" s="18">
        <v>3000</v>
      </c>
    </row>
    <row r="23" spans="1:3" x14ac:dyDescent="0.2">
      <c r="A23" s="19" t="s">
        <v>283</v>
      </c>
      <c r="B23" s="18">
        <v>15000</v>
      </c>
      <c r="C23" s="18">
        <v>90000</v>
      </c>
    </row>
    <row r="24" spans="1:3" x14ac:dyDescent="0.2">
      <c r="A24" s="19" t="s">
        <v>436</v>
      </c>
      <c r="B24" s="18"/>
      <c r="C24" s="18">
        <v>1000</v>
      </c>
    </row>
    <row r="25" spans="1:3" x14ac:dyDescent="0.2">
      <c r="A25" s="19" t="s">
        <v>206</v>
      </c>
      <c r="B25" s="21">
        <f>SUM(B18:B24)</f>
        <v>22150.5</v>
      </c>
      <c r="C25" s="21">
        <f>SUM(C18:C24)</f>
        <v>155000</v>
      </c>
    </row>
    <row r="26" spans="1:3" x14ac:dyDescent="0.2">
      <c r="A26" s="19" t="s">
        <v>207</v>
      </c>
      <c r="B26" s="18"/>
      <c r="C26" s="18">
        <v>1000</v>
      </c>
    </row>
    <row r="27" spans="1:3" ht="16.25" hidden="1" customHeight="1" x14ac:dyDescent="0.2">
      <c r="A27" s="19" t="s">
        <v>473</v>
      </c>
      <c r="B27" s="18"/>
      <c r="C27" s="18"/>
    </row>
    <row r="28" spans="1:3" hidden="1" x14ac:dyDescent="0.2">
      <c r="A28" s="19"/>
      <c r="B28" s="27"/>
      <c r="C28" s="18"/>
    </row>
    <row r="29" spans="1:3" x14ac:dyDescent="0.2">
      <c r="A29" s="19" t="s">
        <v>284</v>
      </c>
      <c r="B29" s="18"/>
      <c r="C29" s="18">
        <v>17500</v>
      </c>
    </row>
    <row r="30" spans="1:3" x14ac:dyDescent="0.2">
      <c r="A30" s="19" t="s">
        <v>547</v>
      </c>
      <c r="B30" s="18"/>
      <c r="C30" s="18"/>
    </row>
    <row r="31" spans="1:3" hidden="1" x14ac:dyDescent="0.2">
      <c r="A31" s="19" t="s">
        <v>502</v>
      </c>
      <c r="B31" s="18"/>
      <c r="C31" s="18"/>
    </row>
    <row r="32" spans="1:3" x14ac:dyDescent="0.2">
      <c r="A32" s="19" t="s">
        <v>575</v>
      </c>
      <c r="B32" s="18"/>
      <c r="C32" s="18">
        <v>700</v>
      </c>
    </row>
    <row r="33" spans="1:3" x14ac:dyDescent="0.2">
      <c r="A33" s="19" t="s">
        <v>285</v>
      </c>
      <c r="B33" s="18"/>
      <c r="C33" s="18">
        <v>2500</v>
      </c>
    </row>
    <row r="34" spans="1:3" ht="9" customHeight="1" x14ac:dyDescent="0.2">
      <c r="A34" s="19"/>
      <c r="B34" s="18"/>
      <c r="C34" s="18"/>
    </row>
    <row r="35" spans="1:3" x14ac:dyDescent="0.2">
      <c r="A35" s="19" t="s">
        <v>208</v>
      </c>
      <c r="B35" s="21">
        <f>B25+B26+B28+B29+B30+B31+B33</f>
        <v>22150.5</v>
      </c>
      <c r="C35" s="21">
        <f>C25+C26+C28+C29+C32+C33</f>
        <v>176700</v>
      </c>
    </row>
    <row r="36" spans="1:3" x14ac:dyDescent="0.2">
      <c r="A36" s="19" t="s">
        <v>209</v>
      </c>
      <c r="B36" s="21">
        <f>((B8)+(B15))+(B35)</f>
        <v>39455.81</v>
      </c>
      <c r="C36" s="21">
        <f>((C8)+(C15))+(C35)</f>
        <v>353200</v>
      </c>
    </row>
    <row r="37" spans="1:3" x14ac:dyDescent="0.2">
      <c r="A37" s="19" t="s">
        <v>1</v>
      </c>
      <c r="B37" s="21">
        <f>B36</f>
        <v>39455.81</v>
      </c>
      <c r="C37" s="21">
        <f>C36</f>
        <v>353200</v>
      </c>
    </row>
    <row r="38" spans="1:3" x14ac:dyDescent="0.2">
      <c r="A38" s="19" t="s">
        <v>2</v>
      </c>
      <c r="B38" s="40">
        <f>(B37)-(0)</f>
        <v>39455.81</v>
      </c>
      <c r="C38" s="21">
        <f>(C37)-(0)</f>
        <v>353200</v>
      </c>
    </row>
    <row r="39" spans="1:3" x14ac:dyDescent="0.2">
      <c r="A39" s="19" t="s">
        <v>210</v>
      </c>
      <c r="B39" s="20"/>
      <c r="C39" s="20"/>
    </row>
    <row r="40" spans="1:3" x14ac:dyDescent="0.2">
      <c r="A40" s="19" t="s">
        <v>211</v>
      </c>
      <c r="B40" s="20"/>
      <c r="C40" s="20"/>
    </row>
    <row r="41" spans="1:3" x14ac:dyDescent="0.2">
      <c r="A41" s="19" t="s">
        <v>286</v>
      </c>
      <c r="B41" s="93"/>
      <c r="C41" s="20"/>
    </row>
    <row r="42" spans="1:3" x14ac:dyDescent="0.2">
      <c r="A42" s="19" t="s">
        <v>287</v>
      </c>
      <c r="B42" s="93"/>
      <c r="C42" s="14">
        <v>3900</v>
      </c>
    </row>
    <row r="43" spans="1:3" x14ac:dyDescent="0.2">
      <c r="A43" s="19" t="s">
        <v>482</v>
      </c>
      <c r="B43" s="93"/>
      <c r="C43" s="18"/>
    </row>
    <row r="44" spans="1:3" x14ac:dyDescent="0.2">
      <c r="A44" s="19" t="s">
        <v>437</v>
      </c>
      <c r="B44" s="18"/>
      <c r="C44" s="18">
        <v>1700</v>
      </c>
    </row>
    <row r="45" spans="1:3" x14ac:dyDescent="0.2">
      <c r="A45" s="19" t="s">
        <v>288</v>
      </c>
      <c r="B45" s="18"/>
      <c r="C45" s="18">
        <v>9000</v>
      </c>
    </row>
    <row r="46" spans="1:3" x14ac:dyDescent="0.2">
      <c r="A46" s="19" t="s">
        <v>289</v>
      </c>
      <c r="B46" s="18"/>
      <c r="C46" s="18">
        <v>4000</v>
      </c>
    </row>
    <row r="47" spans="1:3" x14ac:dyDescent="0.2">
      <c r="A47" s="38" t="s">
        <v>504</v>
      </c>
      <c r="B47" s="18"/>
      <c r="C47" s="18"/>
    </row>
    <row r="48" spans="1:3" x14ac:dyDescent="0.2">
      <c r="A48" s="19" t="s">
        <v>556</v>
      </c>
      <c r="B48" s="18"/>
      <c r="C48" s="18">
        <v>7740</v>
      </c>
    </row>
    <row r="49" spans="1:3" x14ac:dyDescent="0.2">
      <c r="A49" s="19" t="s">
        <v>290</v>
      </c>
      <c r="B49" s="18"/>
      <c r="C49" s="18"/>
    </row>
    <row r="50" spans="1:3" x14ac:dyDescent="0.2">
      <c r="A50" s="19" t="s">
        <v>481</v>
      </c>
      <c r="B50" s="18"/>
      <c r="C50" s="18"/>
    </row>
    <row r="51" spans="1:3" x14ac:dyDescent="0.2">
      <c r="A51" s="36" t="s">
        <v>493</v>
      </c>
      <c r="B51" s="18"/>
      <c r="C51" s="18"/>
    </row>
    <row r="52" spans="1:3" x14ac:dyDescent="0.2">
      <c r="A52" s="19" t="s">
        <v>374</v>
      </c>
      <c r="B52" s="39"/>
      <c r="C52" s="18"/>
    </row>
    <row r="53" spans="1:3" x14ac:dyDescent="0.2">
      <c r="A53" s="19" t="s">
        <v>494</v>
      </c>
      <c r="B53" s="18"/>
      <c r="C53" s="18"/>
    </row>
    <row r="54" spans="1:3" x14ac:dyDescent="0.2">
      <c r="A54" s="19" t="s">
        <v>495</v>
      </c>
      <c r="B54" s="18"/>
      <c r="C54" s="18"/>
    </row>
    <row r="55" spans="1:3" x14ac:dyDescent="0.2">
      <c r="A55" s="19" t="s">
        <v>558</v>
      </c>
      <c r="B55" s="18"/>
      <c r="C55" s="18">
        <v>4000</v>
      </c>
    </row>
    <row r="56" spans="1:3" x14ac:dyDescent="0.2">
      <c r="A56" s="38" t="s">
        <v>505</v>
      </c>
      <c r="B56" s="18"/>
      <c r="C56" s="18">
        <v>0</v>
      </c>
    </row>
    <row r="57" spans="1:3" x14ac:dyDescent="0.2">
      <c r="A57" s="38" t="s">
        <v>506</v>
      </c>
      <c r="B57" s="18"/>
      <c r="C57" s="18"/>
    </row>
    <row r="58" spans="1:3" x14ac:dyDescent="0.2">
      <c r="A58" s="19" t="s">
        <v>557</v>
      </c>
      <c r="B58" s="18"/>
      <c r="C58" s="18"/>
    </row>
    <row r="59" spans="1:3" x14ac:dyDescent="0.2">
      <c r="A59" s="19" t="s">
        <v>548</v>
      </c>
      <c r="B59" s="18"/>
      <c r="C59" s="18"/>
    </row>
    <row r="60" spans="1:3" x14ac:dyDescent="0.2">
      <c r="A60" s="19" t="s">
        <v>522</v>
      </c>
      <c r="B60" s="37"/>
      <c r="C60" s="18"/>
    </row>
    <row r="61" spans="1:3" x14ac:dyDescent="0.2">
      <c r="A61" s="19" t="s">
        <v>291</v>
      </c>
      <c r="B61" s="93"/>
      <c r="C61" s="18">
        <v>32460</v>
      </c>
    </row>
    <row r="62" spans="1:3" x14ac:dyDescent="0.2">
      <c r="A62" s="19" t="s">
        <v>292</v>
      </c>
      <c r="B62" s="86">
        <f>SUM(B40:B61)</f>
        <v>0</v>
      </c>
      <c r="C62" s="21">
        <f>SUM(C41:C61)</f>
        <v>62800</v>
      </c>
    </row>
    <row r="63" spans="1:3" x14ac:dyDescent="0.2">
      <c r="A63" s="19" t="s">
        <v>212</v>
      </c>
      <c r="B63" s="20"/>
      <c r="C63" s="20"/>
    </row>
    <row r="64" spans="1:3" ht="3.75" customHeight="1" x14ac:dyDescent="0.2">
      <c r="A64" s="19"/>
      <c r="B64" s="18"/>
      <c r="C64" s="18"/>
    </row>
    <row r="65" spans="1:3" x14ac:dyDescent="0.2">
      <c r="A65" s="19" t="s">
        <v>213</v>
      </c>
      <c r="B65" s="20"/>
      <c r="C65" s="20"/>
    </row>
    <row r="66" spans="1:3" x14ac:dyDescent="0.2">
      <c r="A66" s="19" t="s">
        <v>214</v>
      </c>
      <c r="B66" s="41">
        <v>13461.54</v>
      </c>
      <c r="C66" s="18">
        <v>70000</v>
      </c>
    </row>
    <row r="67" spans="1:3" x14ac:dyDescent="0.2">
      <c r="A67" s="19" t="s">
        <v>579</v>
      </c>
      <c r="B67" s="41">
        <v>980.75</v>
      </c>
      <c r="C67" s="18"/>
    </row>
    <row r="68" spans="1:3" x14ac:dyDescent="0.2">
      <c r="A68" s="19" t="s">
        <v>215</v>
      </c>
      <c r="B68" s="41"/>
      <c r="C68" s="18">
        <v>13500</v>
      </c>
    </row>
    <row r="69" spans="1:3" x14ac:dyDescent="0.2">
      <c r="A69" s="19" t="s">
        <v>216</v>
      </c>
      <c r="B69" s="40">
        <f>((B65)+(B66))+B67+(B68)</f>
        <v>14442.29</v>
      </c>
      <c r="C69" s="21">
        <f>((C65)+(C66))+(C68)</f>
        <v>83500</v>
      </c>
    </row>
    <row r="70" spans="1:3" x14ac:dyDescent="0.2">
      <c r="A70" s="19" t="s">
        <v>293</v>
      </c>
      <c r="B70" s="20"/>
      <c r="C70" s="20"/>
    </row>
    <row r="71" spans="1:3" x14ac:dyDescent="0.2">
      <c r="A71" s="19" t="s">
        <v>294</v>
      </c>
      <c r="B71" s="41">
        <v>303.05</v>
      </c>
      <c r="C71" s="18">
        <v>39600</v>
      </c>
    </row>
    <row r="72" spans="1:3" x14ac:dyDescent="0.2">
      <c r="A72" s="19" t="s">
        <v>295</v>
      </c>
      <c r="B72" s="21">
        <f>(B70)+(B71)</f>
        <v>303.05</v>
      </c>
      <c r="C72" s="21">
        <f>(C70)+(C71)</f>
        <v>39600</v>
      </c>
    </row>
    <row r="73" spans="1:3" x14ac:dyDescent="0.2">
      <c r="A73" s="19" t="s">
        <v>296</v>
      </c>
      <c r="B73" s="20"/>
      <c r="C73" s="20"/>
    </row>
    <row r="74" spans="1:3" x14ac:dyDescent="0.2">
      <c r="A74" s="19" t="s">
        <v>297</v>
      </c>
      <c r="B74" s="18"/>
      <c r="C74" s="18">
        <v>6400</v>
      </c>
    </row>
    <row r="75" spans="1:3" x14ac:dyDescent="0.2">
      <c r="A75" s="19" t="s">
        <v>523</v>
      </c>
      <c r="B75" s="20"/>
      <c r="C75" s="20"/>
    </row>
    <row r="76" spans="1:3" x14ac:dyDescent="0.2">
      <c r="A76" s="19" t="s">
        <v>438</v>
      </c>
      <c r="B76" s="18">
        <v>1735.5</v>
      </c>
      <c r="C76" s="18">
        <v>10400</v>
      </c>
    </row>
    <row r="77" spans="1:3" ht="6.5" customHeight="1" x14ac:dyDescent="0.2">
      <c r="A77" s="19"/>
      <c r="B77" s="18"/>
      <c r="C77" s="18"/>
    </row>
    <row r="78" spans="1:3" ht="7.25" customHeight="1" x14ac:dyDescent="0.2">
      <c r="A78" s="19"/>
      <c r="B78" s="21"/>
      <c r="C78" s="21"/>
    </row>
    <row r="79" spans="1:3" x14ac:dyDescent="0.2">
      <c r="A79" s="19" t="s">
        <v>217</v>
      </c>
      <c r="B79" s="86">
        <f>B69+B72+B74+B75+B76</f>
        <v>16480.84</v>
      </c>
      <c r="C79" s="86">
        <f>C69+C72+C74+C75+C76</f>
        <v>139900</v>
      </c>
    </row>
    <row r="80" spans="1:3" x14ac:dyDescent="0.2">
      <c r="A80" s="19" t="s">
        <v>218</v>
      </c>
      <c r="B80" s="20"/>
      <c r="C80" s="20"/>
    </row>
    <row r="81" spans="1:5" x14ac:dyDescent="0.2">
      <c r="A81" s="19" t="s">
        <v>298</v>
      </c>
      <c r="B81" s="93">
        <v>1010.81</v>
      </c>
      <c r="C81" s="18">
        <v>4700</v>
      </c>
    </row>
    <row r="82" spans="1:5" x14ac:dyDescent="0.2">
      <c r="A82" s="19" t="s">
        <v>219</v>
      </c>
      <c r="B82" s="93">
        <v>1618.71</v>
      </c>
      <c r="C82" s="18">
        <v>15136</v>
      </c>
    </row>
    <row r="83" spans="1:5" x14ac:dyDescent="0.2">
      <c r="A83" s="19" t="s">
        <v>220</v>
      </c>
      <c r="B83" s="18">
        <v>1440</v>
      </c>
      <c r="C83" s="18">
        <v>3500</v>
      </c>
    </row>
    <row r="84" spans="1:5" x14ac:dyDescent="0.2">
      <c r="A84" s="19" t="s">
        <v>578</v>
      </c>
      <c r="B84" s="18">
        <v>32.450000000000003</v>
      </c>
      <c r="C84" s="18"/>
    </row>
    <row r="85" spans="1:5" x14ac:dyDescent="0.2">
      <c r="A85" s="19" t="s">
        <v>512</v>
      </c>
      <c r="B85" s="18"/>
      <c r="C85" s="18">
        <v>0</v>
      </c>
    </row>
    <row r="86" spans="1:5" x14ac:dyDescent="0.2">
      <c r="A86" s="19" t="s">
        <v>524</v>
      </c>
      <c r="B86" s="93"/>
      <c r="C86" s="18">
        <v>2400</v>
      </c>
    </row>
    <row r="87" spans="1:5" x14ac:dyDescent="0.2">
      <c r="A87" s="19" t="s">
        <v>525</v>
      </c>
      <c r="B87" s="93"/>
      <c r="C87" s="18">
        <v>0</v>
      </c>
    </row>
    <row r="88" spans="1:5" x14ac:dyDescent="0.2">
      <c r="A88" s="19" t="s">
        <v>526</v>
      </c>
      <c r="B88" s="18"/>
      <c r="C88" s="18">
        <v>1280</v>
      </c>
    </row>
    <row r="89" spans="1:5" x14ac:dyDescent="0.2">
      <c r="A89" s="19" t="s">
        <v>527</v>
      </c>
      <c r="B89" s="18"/>
      <c r="C89" s="18">
        <v>21300</v>
      </c>
    </row>
    <row r="90" spans="1:5" x14ac:dyDescent="0.2">
      <c r="A90" s="19" t="s">
        <v>528</v>
      </c>
      <c r="B90" s="18"/>
      <c r="C90" s="18"/>
    </row>
    <row r="91" spans="1:5" x14ac:dyDescent="0.2">
      <c r="A91" s="19" t="s">
        <v>538</v>
      </c>
      <c r="B91" s="94">
        <v>1068.72</v>
      </c>
      <c r="C91" s="18">
        <v>0</v>
      </c>
    </row>
    <row r="92" spans="1:5" x14ac:dyDescent="0.2">
      <c r="A92" s="19" t="s">
        <v>368</v>
      </c>
      <c r="B92" s="18">
        <v>468.43</v>
      </c>
      <c r="C92" s="18">
        <v>2000</v>
      </c>
    </row>
    <row r="93" spans="1:5" ht="16" thickBot="1" x14ac:dyDescent="0.25">
      <c r="A93" s="19">
        <v>2</v>
      </c>
      <c r="B93" s="84"/>
      <c r="C93" s="84">
        <v>850</v>
      </c>
    </row>
    <row r="94" spans="1:5" x14ac:dyDescent="0.2">
      <c r="A94" s="19" t="s">
        <v>537</v>
      </c>
      <c r="B94" s="88">
        <f>SUM(B81:B93)</f>
        <v>5639.1200000000008</v>
      </c>
      <c r="C94" s="18">
        <f>SUM(C81:C93)</f>
        <v>51166</v>
      </c>
      <c r="E94" s="33"/>
    </row>
    <row r="95" spans="1:5" x14ac:dyDescent="0.2">
      <c r="A95" s="19" t="s">
        <v>222</v>
      </c>
      <c r="B95" s="20"/>
      <c r="C95" s="20"/>
    </row>
    <row r="96" spans="1:5" x14ac:dyDescent="0.2">
      <c r="A96" s="19" t="s">
        <v>223</v>
      </c>
      <c r="B96" s="18">
        <v>173.92</v>
      </c>
      <c r="C96" s="18">
        <v>1750</v>
      </c>
    </row>
    <row r="97" spans="1:3" x14ac:dyDescent="0.2">
      <c r="A97" s="19" t="s">
        <v>487</v>
      </c>
      <c r="B97" s="30">
        <v>435</v>
      </c>
      <c r="C97" s="18"/>
    </row>
    <row r="98" spans="1:3" x14ac:dyDescent="0.2">
      <c r="A98" s="19" t="s">
        <v>224</v>
      </c>
      <c r="B98" s="93">
        <v>1037.9100000000001</v>
      </c>
      <c r="C98" s="18">
        <v>4700</v>
      </c>
    </row>
    <row r="99" spans="1:3" x14ac:dyDescent="0.2">
      <c r="A99" s="19" t="s">
        <v>513</v>
      </c>
      <c r="B99" s="93"/>
      <c r="C99" s="18"/>
    </row>
    <row r="100" spans="1:3" x14ac:dyDescent="0.2">
      <c r="A100" s="19" t="s">
        <v>299</v>
      </c>
      <c r="B100" s="93"/>
      <c r="C100" s="18">
        <v>500</v>
      </c>
    </row>
    <row r="101" spans="1:3" x14ac:dyDescent="0.2">
      <c r="A101" s="19" t="s">
        <v>300</v>
      </c>
      <c r="B101" s="93"/>
      <c r="C101" s="18">
        <v>1500</v>
      </c>
    </row>
    <row r="102" spans="1:3" x14ac:dyDescent="0.2">
      <c r="A102" s="19" t="s">
        <v>397</v>
      </c>
      <c r="B102" s="20"/>
      <c r="C102" s="20"/>
    </row>
    <row r="103" spans="1:3" x14ac:dyDescent="0.2">
      <c r="A103" s="19" t="s">
        <v>279</v>
      </c>
      <c r="B103" s="93"/>
      <c r="C103" s="18">
        <v>1000</v>
      </c>
    </row>
    <row r="104" spans="1:3" x14ac:dyDescent="0.2">
      <c r="A104" s="19" t="s">
        <v>395</v>
      </c>
      <c r="B104" s="93"/>
      <c r="C104" s="18">
        <v>1500</v>
      </c>
    </row>
    <row r="105" spans="1:3" x14ac:dyDescent="0.2">
      <c r="A105" s="19" t="s">
        <v>565</v>
      </c>
      <c r="B105" s="93">
        <v>90.39</v>
      </c>
      <c r="C105" s="18"/>
    </row>
    <row r="106" spans="1:3" x14ac:dyDescent="0.2">
      <c r="A106" s="19" t="s">
        <v>439</v>
      </c>
      <c r="B106" s="93">
        <v>30</v>
      </c>
      <c r="C106" s="18">
        <v>1500</v>
      </c>
    </row>
    <row r="107" spans="1:3" x14ac:dyDescent="0.2">
      <c r="A107" s="19" t="s">
        <v>398</v>
      </c>
      <c r="B107" s="21">
        <f>SUM(B103:B106)</f>
        <v>120.39</v>
      </c>
      <c r="C107" s="21">
        <f>(((C102)+(C103))+(C104))+(C106)</f>
        <v>4000</v>
      </c>
    </row>
    <row r="108" spans="1:3" x14ac:dyDescent="0.2">
      <c r="A108" s="19" t="s">
        <v>278</v>
      </c>
      <c r="B108" s="18"/>
      <c r="C108" s="18">
        <v>50</v>
      </c>
    </row>
    <row r="109" spans="1:3" x14ac:dyDescent="0.2">
      <c r="A109" s="19" t="s">
        <v>225</v>
      </c>
      <c r="B109" s="20"/>
      <c r="C109" s="20"/>
    </row>
    <row r="110" spans="1:3" x14ac:dyDescent="0.2">
      <c r="A110" s="19" t="s">
        <v>301</v>
      </c>
      <c r="B110" s="93">
        <v>23.95</v>
      </c>
      <c r="C110" s="18">
        <v>500</v>
      </c>
    </row>
    <row r="111" spans="1:3" x14ac:dyDescent="0.2">
      <c r="A111" s="19" t="s">
        <v>226</v>
      </c>
      <c r="B111" s="93"/>
      <c r="C111" s="18">
        <v>400</v>
      </c>
    </row>
    <row r="112" spans="1:3" x14ac:dyDescent="0.2">
      <c r="A112" s="19" t="s">
        <v>227</v>
      </c>
      <c r="B112" s="40">
        <f>((B109)+(B110))+(B111)</f>
        <v>23.95</v>
      </c>
      <c r="C112" s="21">
        <f>((C109)+(C110))+(C111)</f>
        <v>900</v>
      </c>
    </row>
    <row r="113" spans="1:5" x14ac:dyDescent="0.2">
      <c r="A113" s="19" t="s">
        <v>228</v>
      </c>
      <c r="B113" s="93"/>
      <c r="C113" s="18">
        <v>1250</v>
      </c>
    </row>
    <row r="114" spans="1:5" x14ac:dyDescent="0.2">
      <c r="A114" s="19" t="s">
        <v>375</v>
      </c>
      <c r="B114" s="93"/>
      <c r="C114" s="18">
        <v>2000</v>
      </c>
    </row>
    <row r="115" spans="1:5" x14ac:dyDescent="0.2">
      <c r="A115" s="19" t="s">
        <v>302</v>
      </c>
      <c r="B115" s="93">
        <v>231.21</v>
      </c>
      <c r="C115" s="18">
        <v>1750</v>
      </c>
    </row>
    <row r="116" spans="1:5" x14ac:dyDescent="0.2">
      <c r="A116" s="19" t="s">
        <v>550</v>
      </c>
      <c r="B116" s="18"/>
      <c r="C116" s="18"/>
    </row>
    <row r="117" spans="1:5" x14ac:dyDescent="0.2">
      <c r="A117" s="19" t="s">
        <v>303</v>
      </c>
      <c r="B117" s="93"/>
      <c r="C117" s="18">
        <v>750</v>
      </c>
    </row>
    <row r="118" spans="1:5" x14ac:dyDescent="0.2">
      <c r="A118" s="19" t="s">
        <v>229</v>
      </c>
      <c r="B118" s="93"/>
      <c r="C118" s="18">
        <v>250</v>
      </c>
    </row>
    <row r="119" spans="1:5" x14ac:dyDescent="0.2">
      <c r="A119" s="19" t="s">
        <v>304</v>
      </c>
      <c r="B119" s="93"/>
      <c r="C119" s="18">
        <f>1000</f>
        <v>1000</v>
      </c>
      <c r="D119" s="33"/>
    </row>
    <row r="120" spans="1:5" x14ac:dyDescent="0.2">
      <c r="A120" s="19" t="s">
        <v>230</v>
      </c>
      <c r="B120" s="93">
        <v>876</v>
      </c>
      <c r="C120" s="18">
        <v>3000</v>
      </c>
    </row>
    <row r="122" spans="1:5" x14ac:dyDescent="0.2">
      <c r="A122" s="19" t="s">
        <v>305</v>
      </c>
      <c r="B122" s="93">
        <v>38.880000000000003</v>
      </c>
      <c r="C122" s="18">
        <v>750</v>
      </c>
      <c r="E122" s="33"/>
    </row>
    <row r="123" spans="1:5" x14ac:dyDescent="0.2">
      <c r="A123" s="19" t="s">
        <v>306</v>
      </c>
      <c r="B123" s="20"/>
      <c r="C123" s="20"/>
    </row>
    <row r="124" spans="1:5" x14ac:dyDescent="0.2">
      <c r="A124" s="19" t="s">
        <v>307</v>
      </c>
      <c r="B124" s="93"/>
      <c r="C124" s="18">
        <v>3000</v>
      </c>
    </row>
    <row r="125" spans="1:5" x14ac:dyDescent="0.2">
      <c r="A125" s="19" t="s">
        <v>308</v>
      </c>
      <c r="B125" s="93"/>
      <c r="C125" s="18">
        <v>250</v>
      </c>
    </row>
    <row r="126" spans="1:5" x14ac:dyDescent="0.2">
      <c r="A126" s="19" t="s">
        <v>309</v>
      </c>
      <c r="B126" s="21">
        <f>((B123)+(B124))+(B125)</f>
        <v>0</v>
      </c>
      <c r="C126" s="21">
        <f>((C123)+(C124))+(C125)</f>
        <v>3250</v>
      </c>
    </row>
    <row r="127" spans="1:5" x14ac:dyDescent="0.2">
      <c r="A127" s="19" t="s">
        <v>310</v>
      </c>
      <c r="B127" s="20"/>
      <c r="C127" s="20"/>
    </row>
    <row r="128" spans="1:5" x14ac:dyDescent="0.2">
      <c r="A128" s="19" t="s">
        <v>311</v>
      </c>
      <c r="B128" s="18"/>
      <c r="C128" s="18">
        <v>500</v>
      </c>
    </row>
    <row r="129" spans="1:5" x14ac:dyDescent="0.2">
      <c r="A129" s="19" t="s">
        <v>312</v>
      </c>
      <c r="B129" s="18"/>
      <c r="C129" s="18">
        <v>0</v>
      </c>
    </row>
    <row r="130" spans="1:5" x14ac:dyDescent="0.2">
      <c r="A130" s="19" t="s">
        <v>313</v>
      </c>
      <c r="B130" s="40">
        <f>((B127)+(B128))+(B129)</f>
        <v>0</v>
      </c>
      <c r="C130" s="21">
        <f>((C127)+(C128))+(C129)</f>
        <v>500</v>
      </c>
    </row>
    <row r="131" spans="1:5" x14ac:dyDescent="0.2">
      <c r="A131" s="19" t="s">
        <v>314</v>
      </c>
      <c r="B131" s="20"/>
      <c r="C131" s="20"/>
    </row>
    <row r="132" spans="1:5" x14ac:dyDescent="0.2">
      <c r="A132" s="19" t="s">
        <v>315</v>
      </c>
      <c r="B132" s="18"/>
      <c r="C132" s="18">
        <v>750</v>
      </c>
    </row>
    <row r="133" spans="1:5" x14ac:dyDescent="0.2">
      <c r="A133" s="19" t="s">
        <v>316</v>
      </c>
      <c r="B133" s="40">
        <f>B132</f>
        <v>0</v>
      </c>
      <c r="C133" s="21">
        <f>(C131)+(C132)</f>
        <v>750</v>
      </c>
    </row>
    <row r="134" spans="1:5" x14ac:dyDescent="0.2">
      <c r="A134" s="19" t="s">
        <v>317</v>
      </c>
      <c r="B134" s="20"/>
      <c r="C134" s="20"/>
    </row>
    <row r="135" spans="1:5" x14ac:dyDescent="0.2">
      <c r="A135" s="19" t="s">
        <v>318</v>
      </c>
      <c r="B135" s="93"/>
      <c r="C135" s="18">
        <v>17000</v>
      </c>
    </row>
    <row r="136" spans="1:5" x14ac:dyDescent="0.2">
      <c r="A136" s="19" t="s">
        <v>319</v>
      </c>
      <c r="B136" s="93"/>
      <c r="C136" s="18">
        <v>2000</v>
      </c>
    </row>
    <row r="137" spans="1:5" x14ac:dyDescent="0.2">
      <c r="A137" s="19" t="s">
        <v>320</v>
      </c>
      <c r="B137" s="93"/>
      <c r="C137" s="18">
        <v>750</v>
      </c>
    </row>
    <row r="138" spans="1:5" x14ac:dyDescent="0.2">
      <c r="A138" s="19" t="s">
        <v>376</v>
      </c>
      <c r="B138" s="93"/>
      <c r="C138" s="18">
        <v>250</v>
      </c>
    </row>
    <row r="139" spans="1:5" x14ac:dyDescent="0.2">
      <c r="A139" s="19" t="s">
        <v>321</v>
      </c>
      <c r="B139" s="21">
        <f>((((B134)+(B135))+(B136))+(B137))+(B138)</f>
        <v>0</v>
      </c>
      <c r="C139" s="21">
        <f>((((C134)+(C135))+(C136))+(C137))+(C138)</f>
        <v>20000</v>
      </c>
    </row>
    <row r="140" spans="1:5" x14ac:dyDescent="0.2">
      <c r="A140" s="19" t="s">
        <v>364</v>
      </c>
      <c r="B140" s="18"/>
      <c r="C140" s="18">
        <v>1500</v>
      </c>
    </row>
    <row r="141" spans="1:5" x14ac:dyDescent="0.2">
      <c r="A141" s="19" t="s">
        <v>596</v>
      </c>
      <c r="B141" s="18">
        <v>954</v>
      </c>
      <c r="C141" s="18"/>
    </row>
    <row r="142" spans="1:5" x14ac:dyDescent="0.2">
      <c r="A142" s="19" t="s">
        <v>231</v>
      </c>
      <c r="B142" s="18">
        <v>0</v>
      </c>
      <c r="C142" s="18">
        <v>2000</v>
      </c>
    </row>
    <row r="143" spans="1:5" x14ac:dyDescent="0.2">
      <c r="A143" s="85" t="s">
        <v>232</v>
      </c>
      <c r="B143" s="86">
        <f>(((((((((((((((((((((B95)+(B96))+B97+(B98))+(B100))+(B101))+(B107))+(B108))+(B112))+(B113))+(B114))+(B115))+B116+(B117))+(B118))+(B119))+(B120))+B99+(B122))+(B126))+(B130))+(B133))+(B139))+(B140))+B141+(B142)</f>
        <v>3891.26</v>
      </c>
      <c r="C143" s="86">
        <f>(((((((((((((((((((((C95)+(C96))+(C98))+(C100))+(C101))+(C107))+(C108))+(C112))+(C113))+(C114))+(C115))+(C117))+(C118))+(C119))+(C120))+C99+(C122))+(C126))+(C130))+(C133))+(C139))+(C140))+(C142)</f>
        <v>52150</v>
      </c>
      <c r="D143" s="87"/>
      <c r="E143" s="87"/>
    </row>
    <row r="144" spans="1:5" x14ac:dyDescent="0.2">
      <c r="A144" s="19" t="s">
        <v>233</v>
      </c>
      <c r="B144" s="20"/>
      <c r="C144" s="20"/>
    </row>
    <row r="145" spans="1:3" x14ac:dyDescent="0.2">
      <c r="A145" s="19" t="s">
        <v>234</v>
      </c>
      <c r="B145" s="20"/>
      <c r="C145" s="20"/>
    </row>
    <row r="146" spans="1:3" x14ac:dyDescent="0.2">
      <c r="A146" s="19" t="s">
        <v>322</v>
      </c>
      <c r="B146" s="93">
        <v>254.25</v>
      </c>
      <c r="C146" s="18">
        <v>1000</v>
      </c>
    </row>
    <row r="147" spans="1:3" x14ac:dyDescent="0.2">
      <c r="A147" s="19" t="s">
        <v>549</v>
      </c>
      <c r="C147" s="18"/>
    </row>
    <row r="148" spans="1:3" x14ac:dyDescent="0.2">
      <c r="A148" s="19" t="s">
        <v>235</v>
      </c>
      <c r="B148" s="93">
        <v>3894.19</v>
      </c>
      <c r="C148" s="18">
        <v>16500</v>
      </c>
    </row>
    <row r="149" spans="1:3" x14ac:dyDescent="0.2">
      <c r="A149" s="19" t="s">
        <v>236</v>
      </c>
      <c r="B149" s="21">
        <f>SUM(B146:B148)</f>
        <v>4148.4400000000005</v>
      </c>
      <c r="C149" s="21">
        <f>((C145)+(C146))+(C148)</f>
        <v>17500</v>
      </c>
    </row>
    <row r="150" spans="1:3" x14ac:dyDescent="0.2">
      <c r="A150" s="19" t="s">
        <v>237</v>
      </c>
      <c r="B150" s="20"/>
      <c r="C150" s="20"/>
    </row>
    <row r="151" spans="1:3" x14ac:dyDescent="0.2">
      <c r="A151" s="19" t="s">
        <v>238</v>
      </c>
      <c r="B151" s="93">
        <v>25.76</v>
      </c>
      <c r="C151" s="18">
        <v>2750</v>
      </c>
    </row>
    <row r="152" spans="1:3" x14ac:dyDescent="0.2">
      <c r="A152" s="19" t="s">
        <v>323</v>
      </c>
      <c r="B152" s="93"/>
      <c r="C152" s="18">
        <v>1750</v>
      </c>
    </row>
    <row r="153" spans="1:3" x14ac:dyDescent="0.2">
      <c r="A153" s="19" t="s">
        <v>324</v>
      </c>
      <c r="B153" s="93"/>
      <c r="C153" s="18">
        <v>3000</v>
      </c>
    </row>
    <row r="154" spans="1:3" x14ac:dyDescent="0.2">
      <c r="A154" s="19" t="s">
        <v>239</v>
      </c>
      <c r="B154" s="21">
        <f>(((B150)+(B151))+(B152))+(B153)</f>
        <v>25.76</v>
      </c>
      <c r="C154" s="21">
        <f>(((C150)+(C151))+(C152))+(C153)</f>
        <v>7500</v>
      </c>
    </row>
    <row r="155" spans="1:3" x14ac:dyDescent="0.2">
      <c r="A155" s="19" t="s">
        <v>325</v>
      </c>
      <c r="B155" s="20"/>
      <c r="C155" s="20"/>
    </row>
    <row r="156" spans="1:3" x14ac:dyDescent="0.2">
      <c r="A156" s="19" t="s">
        <v>326</v>
      </c>
      <c r="B156" s="93"/>
      <c r="C156" s="18">
        <v>500</v>
      </c>
    </row>
    <row r="157" spans="1:3" x14ac:dyDescent="0.2">
      <c r="A157" s="19" t="s">
        <v>327</v>
      </c>
      <c r="B157" s="93"/>
      <c r="C157" s="18">
        <v>1200</v>
      </c>
    </row>
    <row r="158" spans="1:3" x14ac:dyDescent="0.2">
      <c r="A158" s="19" t="s">
        <v>328</v>
      </c>
      <c r="B158" s="93"/>
      <c r="C158" s="18">
        <v>250</v>
      </c>
    </row>
    <row r="159" spans="1:3" x14ac:dyDescent="0.2">
      <c r="A159" s="19" t="s">
        <v>329</v>
      </c>
      <c r="B159" s="41"/>
      <c r="C159" s="18">
        <v>250</v>
      </c>
    </row>
    <row r="160" spans="1:3" x14ac:dyDescent="0.2">
      <c r="A160" s="19" t="s">
        <v>330</v>
      </c>
      <c r="B160" s="41"/>
      <c r="C160" s="18">
        <v>2750</v>
      </c>
    </row>
    <row r="161" spans="1:3" x14ac:dyDescent="0.2">
      <c r="A161" s="19" t="s">
        <v>331</v>
      </c>
      <c r="B161" s="30"/>
      <c r="C161" s="18">
        <v>250</v>
      </c>
    </row>
    <row r="162" spans="1:3" x14ac:dyDescent="0.2">
      <c r="A162" s="19" t="s">
        <v>377</v>
      </c>
      <c r="B162" s="30"/>
      <c r="C162" s="18">
        <v>500</v>
      </c>
    </row>
    <row r="163" spans="1:3" x14ac:dyDescent="0.2">
      <c r="A163" s="19" t="s">
        <v>332</v>
      </c>
      <c r="B163" s="21">
        <f>(((((((B155)+(B156))+(B157))+(B158))+(B159))+(B160))+(B161))+(B162)</f>
        <v>0</v>
      </c>
      <c r="C163" s="21">
        <f>(((((((C155)+(C156))+(C157))+(C158))+(C159))+(C160))+(C161))+(C162)</f>
        <v>5700</v>
      </c>
    </row>
    <row r="164" spans="1:3" x14ac:dyDescent="0.2">
      <c r="A164" s="19" t="s">
        <v>333</v>
      </c>
      <c r="B164" s="20"/>
      <c r="C164" s="20"/>
    </row>
    <row r="165" spans="1:3" x14ac:dyDescent="0.2">
      <c r="A165" s="19" t="s">
        <v>334</v>
      </c>
      <c r="B165" s="93"/>
      <c r="C165" s="18">
        <v>150</v>
      </c>
    </row>
    <row r="166" spans="1:3" x14ac:dyDescent="0.2">
      <c r="A166" s="19" t="s">
        <v>559</v>
      </c>
      <c r="B166" s="18"/>
      <c r="C166" s="18"/>
    </row>
    <row r="167" spans="1:3" x14ac:dyDescent="0.2">
      <c r="A167" s="19" t="s">
        <v>335</v>
      </c>
      <c r="B167" s="18"/>
      <c r="C167" s="18">
        <v>150</v>
      </c>
    </row>
    <row r="168" spans="1:3" x14ac:dyDescent="0.2">
      <c r="A168" s="19" t="s">
        <v>389</v>
      </c>
      <c r="B168" s="93"/>
      <c r="C168" s="18">
        <v>500</v>
      </c>
    </row>
    <row r="169" spans="1:3" x14ac:dyDescent="0.2">
      <c r="A169" s="19" t="s">
        <v>336</v>
      </c>
      <c r="B169" s="93"/>
      <c r="C169" s="18">
        <v>4000</v>
      </c>
    </row>
    <row r="170" spans="1:3" x14ac:dyDescent="0.2">
      <c r="A170" s="19" t="s">
        <v>337</v>
      </c>
      <c r="B170" s="93">
        <v>93.52</v>
      </c>
      <c r="C170" s="18">
        <v>1500</v>
      </c>
    </row>
    <row r="171" spans="1:3" x14ac:dyDescent="0.2">
      <c r="A171" s="19" t="s">
        <v>338</v>
      </c>
      <c r="B171" s="93"/>
      <c r="C171" s="18">
        <v>700</v>
      </c>
    </row>
    <row r="172" spans="1:3" x14ac:dyDescent="0.2">
      <c r="A172" s="19" t="s">
        <v>339</v>
      </c>
      <c r="B172" s="93"/>
      <c r="C172" s="18">
        <v>6000</v>
      </c>
    </row>
    <row r="173" spans="1:3" x14ac:dyDescent="0.2">
      <c r="A173" s="19" t="s">
        <v>340</v>
      </c>
      <c r="B173" s="18"/>
      <c r="C173" s="18">
        <v>3000</v>
      </c>
    </row>
    <row r="174" spans="1:3" x14ac:dyDescent="0.2">
      <c r="A174" s="19" t="s">
        <v>510</v>
      </c>
      <c r="B174" s="18"/>
      <c r="C174" s="18">
        <v>0</v>
      </c>
    </row>
    <row r="175" spans="1:3" x14ac:dyDescent="0.2">
      <c r="A175" s="19" t="s">
        <v>341</v>
      </c>
      <c r="B175" s="18"/>
      <c r="C175" s="18">
        <v>250</v>
      </c>
    </row>
    <row r="176" spans="1:3" x14ac:dyDescent="0.2">
      <c r="A176" s="19" t="s">
        <v>342</v>
      </c>
      <c r="B176" s="21">
        <f>SUM(B165:B175)</f>
        <v>93.52</v>
      </c>
      <c r="C176" s="21">
        <f>(((((((((C164)+(C165))+(C167))+(C168))+(C169))+(C170))+(C171))+(C172))+(C173))+(C175)</f>
        <v>16250</v>
      </c>
    </row>
    <row r="177" spans="1:10" x14ac:dyDescent="0.2">
      <c r="A177" s="19" t="s">
        <v>240</v>
      </c>
      <c r="B177" s="86">
        <f>((((B144)+(B149))+(B154))+(B163))+(B176)</f>
        <v>4267.7200000000012</v>
      </c>
      <c r="C177" s="21">
        <f>((((C144)+(C149))+(C154))+(C163))+(C176)</f>
        <v>46950</v>
      </c>
    </row>
    <row r="178" spans="1:10" x14ac:dyDescent="0.2">
      <c r="A178" s="19" t="s">
        <v>241</v>
      </c>
      <c r="B178" s="40">
        <f>B62+B79+B94+B143+B177</f>
        <v>30278.940000000002</v>
      </c>
      <c r="C178" s="40">
        <f>C62+C79+C94+C143+C177</f>
        <v>352966</v>
      </c>
    </row>
    <row r="179" spans="1:10" x14ac:dyDescent="0.2">
      <c r="A179" s="19" t="s">
        <v>273</v>
      </c>
      <c r="B179" s="21">
        <f>B178</f>
        <v>30278.940000000002</v>
      </c>
      <c r="C179" s="21">
        <f>C178</f>
        <v>352966</v>
      </c>
    </row>
    <row r="180" spans="1:10" x14ac:dyDescent="0.2">
      <c r="A180" s="19" t="s">
        <v>274</v>
      </c>
      <c r="B180" s="247">
        <f>(B38)-(B179)</f>
        <v>9176.8699999999953</v>
      </c>
      <c r="C180" s="21">
        <f>(C38)-(C179)</f>
        <v>234</v>
      </c>
    </row>
    <row r="181" spans="1:10" x14ac:dyDescent="0.2">
      <c r="A181" s="19"/>
      <c r="B181" s="21"/>
      <c r="C181" s="21"/>
    </row>
    <row r="182" spans="1:10" x14ac:dyDescent="0.2">
      <c r="A182" s="19"/>
      <c r="B182" s="24"/>
      <c r="C182" s="20"/>
    </row>
    <row r="183" spans="1:10" x14ac:dyDescent="0.2">
      <c r="A183" s="19"/>
      <c r="B183" s="24"/>
      <c r="C183" s="20"/>
    </row>
    <row r="184" spans="1:10" x14ac:dyDescent="0.2">
      <c r="A184" s="19"/>
      <c r="B184" s="24"/>
      <c r="C184" s="20"/>
    </row>
    <row r="185" spans="1:10" x14ac:dyDescent="0.2">
      <c r="A185" s="19"/>
      <c r="B185" s="24"/>
      <c r="C185" s="20"/>
    </row>
    <row r="186" spans="1:10" x14ac:dyDescent="0.2">
      <c r="A186" s="19"/>
      <c r="B186" s="24"/>
      <c r="C186" s="20"/>
    </row>
    <row r="187" spans="1:10" ht="24" customHeight="1" x14ac:dyDescent="0.2">
      <c r="A187" s="19" t="s">
        <v>517</v>
      </c>
      <c r="B187" s="24"/>
      <c r="E187" s="35"/>
    </row>
    <row r="188" spans="1:10" x14ac:dyDescent="0.2">
      <c r="A188" t="s">
        <v>555</v>
      </c>
      <c r="B188" s="14"/>
    </row>
    <row r="189" spans="1:10" ht="16" thickBot="1" x14ac:dyDescent="0.25">
      <c r="B189" s="14"/>
      <c r="C189" s="246">
        <f>B180+B187+B188</f>
        <v>9176.8699999999953</v>
      </c>
    </row>
    <row r="190" spans="1:10" ht="21.5" customHeight="1" x14ac:dyDescent="0.2">
      <c r="A190" s="19"/>
      <c r="B190" s="24"/>
      <c r="C190" s="34"/>
      <c r="E190" s="35"/>
    </row>
    <row r="191" spans="1:10" x14ac:dyDescent="0.2">
      <c r="A191" t="s">
        <v>400</v>
      </c>
      <c r="B191" s="245">
        <v>-55744.1</v>
      </c>
      <c r="E191" s="89"/>
    </row>
    <row r="192" spans="1:10" x14ac:dyDescent="0.2">
      <c r="A192" t="s">
        <v>479</v>
      </c>
      <c r="B192" s="14">
        <v>0</v>
      </c>
      <c r="J192" s="33"/>
    </row>
    <row r="193" spans="1:7" x14ac:dyDescent="0.2">
      <c r="A193" t="s">
        <v>569</v>
      </c>
      <c r="B193" s="14"/>
    </row>
    <row r="194" spans="1:7" x14ac:dyDescent="0.2">
      <c r="B194" s="24"/>
      <c r="G194" s="33"/>
    </row>
    <row r="195" spans="1:7" x14ac:dyDescent="0.2">
      <c r="A195" t="s">
        <v>476</v>
      </c>
      <c r="B195" s="249">
        <v>-605.14</v>
      </c>
    </row>
    <row r="196" spans="1:7" x14ac:dyDescent="0.2">
      <c r="A196" t="s">
        <v>413</v>
      </c>
      <c r="B196" s="25"/>
    </row>
    <row r="197" spans="1:7" x14ac:dyDescent="0.2">
      <c r="D197" s="14"/>
    </row>
    <row r="198" spans="1:7" x14ac:dyDescent="0.2">
      <c r="A198" t="s">
        <v>401</v>
      </c>
      <c r="B198" s="25"/>
    </row>
    <row r="199" spans="1:7" x14ac:dyDescent="0.2">
      <c r="B199" s="14"/>
    </row>
    <row r="200" spans="1:7" ht="16" thickBot="1" x14ac:dyDescent="0.25">
      <c r="A200" s="26" t="s">
        <v>402</v>
      </c>
      <c r="B200" s="97">
        <f>SUM(B180:B198)</f>
        <v>-47172.37</v>
      </c>
    </row>
    <row r="201" spans="1:7" ht="16" thickTop="1" x14ac:dyDescent="0.2">
      <c r="B201" s="14"/>
    </row>
    <row r="202" spans="1:7" x14ac:dyDescent="0.2">
      <c r="B202" s="14"/>
    </row>
    <row r="203" spans="1:7" x14ac:dyDescent="0.2">
      <c r="B203" s="14"/>
    </row>
    <row r="204" spans="1:7" x14ac:dyDescent="0.2">
      <c r="B204" s="14"/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AFE05-3335-4A47-A8C3-5097216D9A5B}">
  <dimension ref="A1:I164"/>
  <sheetViews>
    <sheetView topLeftCell="A144" workbookViewId="0">
      <selection activeCell="A144" sqref="A1:XFD1048576"/>
    </sheetView>
  </sheetViews>
  <sheetFormatPr baseColWidth="10" defaultColWidth="8.83203125" defaultRowHeight="15" x14ac:dyDescent="0.2"/>
  <cols>
    <col min="1" max="1" width="46.5" customWidth="1"/>
    <col min="2" max="2" width="9.5" customWidth="1"/>
    <col min="3" max="3" width="8.5" customWidth="1"/>
    <col min="4" max="4" width="10.33203125" customWidth="1"/>
    <col min="5" max="5" width="11.1640625" customWidth="1"/>
    <col min="6" max="6" width="12" customWidth="1"/>
    <col min="9" max="9" width="11.5" bestFit="1" customWidth="1"/>
  </cols>
  <sheetData>
    <row r="1" spans="1:6" ht="18" x14ac:dyDescent="0.2">
      <c r="A1" s="253" t="s">
        <v>67</v>
      </c>
      <c r="B1" s="254"/>
      <c r="C1" s="254"/>
      <c r="D1" s="254"/>
      <c r="E1" s="254"/>
      <c r="F1" s="254"/>
    </row>
    <row r="2" spans="1:6" ht="18" x14ac:dyDescent="0.2">
      <c r="A2" s="253" t="s">
        <v>533</v>
      </c>
      <c r="B2" s="254"/>
      <c r="C2" s="254"/>
      <c r="D2" s="254"/>
      <c r="E2" s="254"/>
      <c r="F2" s="254"/>
    </row>
    <row r="3" spans="1:6" x14ac:dyDescent="0.2">
      <c r="A3" s="255" t="s">
        <v>586</v>
      </c>
      <c r="B3" s="254"/>
      <c r="C3" s="254"/>
      <c r="D3" s="254"/>
      <c r="E3" s="254"/>
      <c r="F3" s="254"/>
    </row>
    <row r="5" spans="1:6" x14ac:dyDescent="0.2">
      <c r="A5" s="23"/>
      <c r="B5" s="22" t="s">
        <v>4</v>
      </c>
      <c r="C5" s="250" t="s">
        <v>5</v>
      </c>
      <c r="D5" s="22" t="s">
        <v>6</v>
      </c>
      <c r="E5" s="22" t="s">
        <v>516</v>
      </c>
      <c r="F5" s="22" t="s">
        <v>7</v>
      </c>
    </row>
    <row r="6" spans="1:6" x14ac:dyDescent="0.2">
      <c r="A6" s="23"/>
      <c r="B6" s="79"/>
      <c r="C6" s="251"/>
      <c r="D6" s="79"/>
      <c r="E6" s="79"/>
      <c r="F6" s="79"/>
    </row>
    <row r="7" spans="1:6" x14ac:dyDescent="0.2">
      <c r="A7" s="19" t="s">
        <v>0</v>
      </c>
      <c r="B7" s="20"/>
      <c r="C7" s="20"/>
      <c r="D7" s="20"/>
      <c r="E7" s="20"/>
      <c r="F7" s="20"/>
    </row>
    <row r="8" spans="1:6" x14ac:dyDescent="0.2">
      <c r="A8" s="19" t="s">
        <v>179</v>
      </c>
      <c r="B8" s="20"/>
      <c r="C8" s="20"/>
      <c r="D8" s="20"/>
      <c r="E8" s="20"/>
      <c r="F8" s="18">
        <f t="shared" ref="F8:F40" si="0">(((B8)+(C8))+(D8))+(E8)</f>
        <v>0</v>
      </c>
    </row>
    <row r="9" spans="1:6" x14ac:dyDescent="0.2">
      <c r="A9" s="19" t="s">
        <v>180</v>
      </c>
      <c r="B9" s="20"/>
      <c r="C9" s="20"/>
      <c r="D9" s="20"/>
      <c r="E9" s="20"/>
      <c r="F9" s="18">
        <f t="shared" si="0"/>
        <v>0</v>
      </c>
    </row>
    <row r="10" spans="1:6" x14ac:dyDescent="0.2">
      <c r="A10" s="19" t="s">
        <v>181</v>
      </c>
      <c r="B10" s="20"/>
      <c r="C10" s="20"/>
      <c r="D10" s="18">
        <f>148387.5</f>
        <v>148387.5</v>
      </c>
      <c r="E10" s="20"/>
      <c r="F10" s="18">
        <f t="shared" si="0"/>
        <v>148387.5</v>
      </c>
    </row>
    <row r="11" spans="1:6" x14ac:dyDescent="0.2">
      <c r="A11" s="19" t="s">
        <v>182</v>
      </c>
      <c r="B11" s="20"/>
      <c r="C11" s="20"/>
      <c r="D11" s="18">
        <f>-136591.99</f>
        <v>-136591.99</v>
      </c>
      <c r="E11" s="20"/>
      <c r="F11" s="18">
        <f t="shared" si="0"/>
        <v>-136591.99</v>
      </c>
    </row>
    <row r="12" spans="1:6" x14ac:dyDescent="0.2">
      <c r="A12" s="19" t="s">
        <v>183</v>
      </c>
      <c r="B12" s="21">
        <f>((B9)+(B10))+(B11)</f>
        <v>0</v>
      </c>
      <c r="C12" s="21">
        <f>((C9)+(C10))+(C11)</f>
        <v>0</v>
      </c>
      <c r="D12" s="21">
        <f>((D9)+(D10))+(D11)</f>
        <v>11795.510000000009</v>
      </c>
      <c r="E12" s="21">
        <f>((E9)+(E10))+(E11)</f>
        <v>0</v>
      </c>
      <c r="F12" s="21">
        <f t="shared" si="0"/>
        <v>11795.510000000009</v>
      </c>
    </row>
    <row r="13" spans="1:6" x14ac:dyDescent="0.2">
      <c r="A13" s="19" t="s">
        <v>366</v>
      </c>
      <c r="B13" s="20"/>
      <c r="C13" s="20"/>
      <c r="D13" s="20"/>
      <c r="E13" s="20"/>
      <c r="F13" s="18">
        <f t="shared" si="0"/>
        <v>0</v>
      </c>
    </row>
    <row r="14" spans="1:6" x14ac:dyDescent="0.2">
      <c r="A14" s="19" t="s">
        <v>184</v>
      </c>
      <c r="B14" s="20"/>
      <c r="C14" s="20"/>
      <c r="D14" s="20"/>
      <c r="E14" s="18">
        <f>173700</f>
        <v>173700</v>
      </c>
      <c r="F14" s="18">
        <f t="shared" si="0"/>
        <v>173700</v>
      </c>
    </row>
    <row r="15" spans="1:6" x14ac:dyDescent="0.2">
      <c r="A15" s="19" t="s">
        <v>186</v>
      </c>
      <c r="B15" s="20"/>
      <c r="C15" s="20"/>
      <c r="D15" s="20"/>
      <c r="E15" s="18">
        <f>-160316.51</f>
        <v>-160316.51</v>
      </c>
      <c r="F15" s="18">
        <f t="shared" si="0"/>
        <v>-160316.51</v>
      </c>
    </row>
    <row r="16" spans="1:6" x14ac:dyDescent="0.2">
      <c r="A16" s="19" t="s">
        <v>187</v>
      </c>
      <c r="B16" s="21">
        <f>(B14)+(B15)</f>
        <v>0</v>
      </c>
      <c r="C16" s="21">
        <f>(C14)+(C15)</f>
        <v>0</v>
      </c>
      <c r="D16" s="21">
        <f>(D14)+(D15)</f>
        <v>0</v>
      </c>
      <c r="E16" s="21">
        <f>(E14)+(E15)</f>
        <v>13383.489999999991</v>
      </c>
      <c r="F16" s="21">
        <f t="shared" si="0"/>
        <v>13383.489999999991</v>
      </c>
    </row>
    <row r="17" spans="1:6" x14ac:dyDescent="0.2">
      <c r="A17" s="19" t="s">
        <v>367</v>
      </c>
      <c r="B17" s="21">
        <f>(B13)+(B16)</f>
        <v>0</v>
      </c>
      <c r="C17" s="21">
        <f>(C13)+(C16)</f>
        <v>0</v>
      </c>
      <c r="D17" s="21">
        <f>(D13)+(D16)</f>
        <v>0</v>
      </c>
      <c r="E17" s="21">
        <f>(E13)+(E16)</f>
        <v>13383.489999999991</v>
      </c>
      <c r="F17" s="21">
        <f t="shared" si="0"/>
        <v>13383.489999999991</v>
      </c>
    </row>
    <row r="18" spans="1:6" x14ac:dyDescent="0.2">
      <c r="A18" s="19" t="s">
        <v>188</v>
      </c>
      <c r="B18" s="20"/>
      <c r="C18" s="20"/>
      <c r="D18" s="20"/>
      <c r="E18" s="20"/>
      <c r="F18" s="18">
        <f t="shared" si="0"/>
        <v>0</v>
      </c>
    </row>
    <row r="19" spans="1:6" x14ac:dyDescent="0.2">
      <c r="A19" s="19" t="s">
        <v>192</v>
      </c>
      <c r="B19" s="20"/>
      <c r="C19" s="20"/>
      <c r="D19" s="20"/>
      <c r="E19" s="20"/>
      <c r="F19" s="18">
        <f t="shared" si="0"/>
        <v>0</v>
      </c>
    </row>
    <row r="20" spans="1:6" x14ac:dyDescent="0.2">
      <c r="A20" s="19" t="s">
        <v>597</v>
      </c>
      <c r="B20" s="20"/>
      <c r="C20" s="20"/>
      <c r="D20" s="20"/>
      <c r="E20" s="18">
        <f>5000</f>
        <v>5000</v>
      </c>
      <c r="F20" s="18">
        <f t="shared" si="0"/>
        <v>5000</v>
      </c>
    </row>
    <row r="21" spans="1:6" x14ac:dyDescent="0.2">
      <c r="A21" s="19" t="s">
        <v>497</v>
      </c>
      <c r="B21" s="20"/>
      <c r="C21" s="20"/>
      <c r="D21" s="20"/>
      <c r="E21" s="18">
        <f>2.55</f>
        <v>2.5499999999999998</v>
      </c>
      <c r="F21" s="18">
        <f t="shared" si="0"/>
        <v>2.5499999999999998</v>
      </c>
    </row>
    <row r="22" spans="1:6" x14ac:dyDescent="0.2">
      <c r="A22" s="19" t="s">
        <v>194</v>
      </c>
      <c r="B22" s="21">
        <f>((B19)+(B20))+(B21)</f>
        <v>0</v>
      </c>
      <c r="C22" s="21">
        <f>((C19)+(C20))+(C21)</f>
        <v>0</v>
      </c>
      <c r="D22" s="21">
        <f>((D19)+(D20))+(D21)</f>
        <v>0</v>
      </c>
      <c r="E22" s="21">
        <f>((E19)+(E20))+(E21)</f>
        <v>5002.55</v>
      </c>
      <c r="F22" s="21">
        <f t="shared" si="0"/>
        <v>5002.55</v>
      </c>
    </row>
    <row r="23" spans="1:6" x14ac:dyDescent="0.2">
      <c r="A23" s="19" t="s">
        <v>195</v>
      </c>
      <c r="B23" s="21">
        <f>(B18)+(B22)</f>
        <v>0</v>
      </c>
      <c r="C23" s="21">
        <f>(C18)+(C22)</f>
        <v>0</v>
      </c>
      <c r="D23" s="21">
        <f>(D18)+(D22)</f>
        <v>0</v>
      </c>
      <c r="E23" s="21">
        <f>(E18)+(E22)</f>
        <v>5002.55</v>
      </c>
      <c r="F23" s="21">
        <f t="shared" si="0"/>
        <v>5002.55</v>
      </c>
    </row>
    <row r="24" spans="1:6" x14ac:dyDescent="0.2">
      <c r="A24" s="19" t="s">
        <v>196</v>
      </c>
      <c r="B24" s="21">
        <f>(((B8)+(B12))+(B17))+(B23)</f>
        <v>0</v>
      </c>
      <c r="C24" s="21">
        <f>(((C8)+(C12))+(C17))+(C23)</f>
        <v>0</v>
      </c>
      <c r="D24" s="21">
        <f>(((D8)+(D12))+(D17))+(D23)</f>
        <v>11795.510000000009</v>
      </c>
      <c r="E24" s="21">
        <f>(((E8)+(E12))+(E17))+(E23)</f>
        <v>18386.03999999999</v>
      </c>
      <c r="F24" s="40">
        <f t="shared" si="0"/>
        <v>30181.55</v>
      </c>
    </row>
    <row r="25" spans="1:6" x14ac:dyDescent="0.2">
      <c r="A25" s="19" t="s">
        <v>197</v>
      </c>
      <c r="B25" s="20"/>
      <c r="C25" s="20"/>
      <c r="D25" s="20"/>
      <c r="E25" s="20"/>
      <c r="F25" s="18">
        <f t="shared" si="0"/>
        <v>0</v>
      </c>
    </row>
    <row r="26" spans="1:6" x14ac:dyDescent="0.2">
      <c r="A26" s="19" t="s">
        <v>198</v>
      </c>
      <c r="B26" s="20"/>
      <c r="C26" s="20"/>
      <c r="D26" s="20"/>
      <c r="E26" s="20"/>
      <c r="F26" s="18">
        <f t="shared" si="0"/>
        <v>0</v>
      </c>
    </row>
    <row r="27" spans="1:6" x14ac:dyDescent="0.2">
      <c r="A27" s="19" t="s">
        <v>199</v>
      </c>
      <c r="B27" s="18">
        <f>17305.31</f>
        <v>17305.310000000001</v>
      </c>
      <c r="C27" s="20"/>
      <c r="D27" s="20"/>
      <c r="E27" s="20"/>
      <c r="F27" s="18">
        <f t="shared" si="0"/>
        <v>17305.310000000001</v>
      </c>
    </row>
    <row r="28" spans="1:6" x14ac:dyDescent="0.2">
      <c r="A28" s="19" t="s">
        <v>201</v>
      </c>
      <c r="B28" s="21">
        <f>(B26)+(B27)</f>
        <v>17305.310000000001</v>
      </c>
      <c r="C28" s="21">
        <f>(C26)+(C27)</f>
        <v>0</v>
      </c>
      <c r="D28" s="21">
        <f>(D26)+(D27)</f>
        <v>0</v>
      </c>
      <c r="E28" s="21">
        <f>(E26)+(E27)</f>
        <v>0</v>
      </c>
      <c r="F28" s="21">
        <f t="shared" si="0"/>
        <v>17305.310000000001</v>
      </c>
    </row>
    <row r="29" spans="1:6" x14ac:dyDescent="0.2">
      <c r="A29" s="19" t="s">
        <v>202</v>
      </c>
      <c r="B29" s="20"/>
      <c r="C29" s="20"/>
      <c r="D29" s="20"/>
      <c r="E29" s="20"/>
      <c r="F29" s="18">
        <f t="shared" si="0"/>
        <v>0</v>
      </c>
    </row>
    <row r="30" spans="1:6" x14ac:dyDescent="0.2">
      <c r="A30" s="19" t="s">
        <v>203</v>
      </c>
      <c r="B30" s="20"/>
      <c r="C30" s="20"/>
      <c r="D30" s="20"/>
      <c r="E30" s="20"/>
      <c r="F30" s="18">
        <f t="shared" si="0"/>
        <v>0</v>
      </c>
    </row>
    <row r="31" spans="1:6" x14ac:dyDescent="0.2">
      <c r="A31" s="19" t="s">
        <v>363</v>
      </c>
      <c r="B31" s="18">
        <f>2607.5</f>
        <v>2607.5</v>
      </c>
      <c r="C31" s="20"/>
      <c r="D31" s="20"/>
      <c r="E31" s="20"/>
      <c r="F31" s="18">
        <f t="shared" si="0"/>
        <v>2607.5</v>
      </c>
    </row>
    <row r="32" spans="1:6" x14ac:dyDescent="0.2">
      <c r="A32" s="19" t="s">
        <v>205</v>
      </c>
      <c r="B32" s="18">
        <f>2500</f>
        <v>2500</v>
      </c>
      <c r="C32" s="20"/>
      <c r="D32" s="20"/>
      <c r="E32" s="20"/>
      <c r="F32" s="18">
        <f t="shared" si="0"/>
        <v>2500</v>
      </c>
    </row>
    <row r="33" spans="1:9" x14ac:dyDescent="0.2">
      <c r="A33" s="19" t="s">
        <v>378</v>
      </c>
      <c r="B33" s="18">
        <f>2043</f>
        <v>2043</v>
      </c>
      <c r="C33" s="20"/>
      <c r="D33" s="20"/>
      <c r="E33" s="20"/>
      <c r="F33" s="18">
        <f t="shared" si="0"/>
        <v>2043</v>
      </c>
    </row>
    <row r="34" spans="1:9" x14ac:dyDescent="0.2">
      <c r="A34" s="19" t="s">
        <v>283</v>
      </c>
      <c r="B34" s="18">
        <f>15000</f>
        <v>15000</v>
      </c>
      <c r="C34" s="20"/>
      <c r="D34" s="20"/>
      <c r="E34" s="20"/>
      <c r="F34" s="18">
        <f t="shared" si="0"/>
        <v>15000</v>
      </c>
    </row>
    <row r="35" spans="1:9" x14ac:dyDescent="0.2">
      <c r="A35" s="19" t="s">
        <v>206</v>
      </c>
      <c r="B35" s="21">
        <f>((((B30)+(B31))+(B32))+(B33))+(B34)</f>
        <v>22150.5</v>
      </c>
      <c r="C35" s="21">
        <f>((((C30)+(C31))+(C32))+(C33))+(C34)</f>
        <v>0</v>
      </c>
      <c r="D35" s="21">
        <f>((((D30)+(D31))+(D32))+(D33))+(D34)</f>
        <v>0</v>
      </c>
      <c r="E35" s="21">
        <f>((((E30)+(E31))+(E32))+(E33))+(E34)</f>
        <v>0</v>
      </c>
      <c r="F35" s="21">
        <f t="shared" si="0"/>
        <v>22150.5</v>
      </c>
    </row>
    <row r="36" spans="1:9" x14ac:dyDescent="0.2">
      <c r="A36" s="19" t="s">
        <v>208</v>
      </c>
      <c r="B36" s="21">
        <f>(B29)+(B35)</f>
        <v>22150.5</v>
      </c>
      <c r="C36" s="21">
        <f>(C29)+(C35)</f>
        <v>0</v>
      </c>
      <c r="D36" s="21">
        <f>(D29)+(D35)</f>
        <v>0</v>
      </c>
      <c r="E36" s="21">
        <f>(E29)+(E35)</f>
        <v>0</v>
      </c>
      <c r="F36" s="21">
        <f t="shared" si="0"/>
        <v>22150.5</v>
      </c>
    </row>
    <row r="37" spans="1:9" x14ac:dyDescent="0.2">
      <c r="A37" s="19" t="s">
        <v>587</v>
      </c>
      <c r="B37" s="18">
        <f>0</f>
        <v>0</v>
      </c>
      <c r="C37" s="20"/>
      <c r="D37" s="20"/>
      <c r="E37" s="20"/>
      <c r="F37" s="18">
        <f t="shared" si="0"/>
        <v>0</v>
      </c>
    </row>
    <row r="38" spans="1:9" x14ac:dyDescent="0.2">
      <c r="A38" s="19" t="s">
        <v>209</v>
      </c>
      <c r="B38" s="21">
        <f>(((B25)+(B28))+(B36))+(B37)</f>
        <v>39455.81</v>
      </c>
      <c r="C38" s="21">
        <f>(((C25)+(C28))+(C36))+(C37)</f>
        <v>0</v>
      </c>
      <c r="D38" s="21">
        <f>(((D25)+(D28))+(D36))+(D37)</f>
        <v>0</v>
      </c>
      <c r="E38" s="21">
        <f>(((E25)+(E28))+(E36))+(E37)</f>
        <v>0</v>
      </c>
      <c r="F38" s="21">
        <f t="shared" si="0"/>
        <v>39455.81</v>
      </c>
    </row>
    <row r="39" spans="1:9" x14ac:dyDescent="0.2">
      <c r="A39" s="19" t="s">
        <v>1</v>
      </c>
      <c r="B39" s="21">
        <f>(B24)+(B38)</f>
        <v>39455.81</v>
      </c>
      <c r="C39" s="21">
        <f>(C24)+(C38)</f>
        <v>0</v>
      </c>
      <c r="D39" s="21">
        <f>(D24)+(D38)</f>
        <v>11795.510000000009</v>
      </c>
      <c r="E39" s="21">
        <f>(E24)+(E38)</f>
        <v>18386.03999999999</v>
      </c>
      <c r="F39" s="21">
        <f t="shared" si="0"/>
        <v>69637.36</v>
      </c>
      <c r="I39" s="103"/>
    </row>
    <row r="40" spans="1:9" x14ac:dyDescent="0.2">
      <c r="A40" s="19" t="s">
        <v>2</v>
      </c>
      <c r="B40" s="21">
        <f>(B39)-(0)</f>
        <v>39455.81</v>
      </c>
      <c r="C40" s="21">
        <f>(C39)-(0)</f>
        <v>0</v>
      </c>
      <c r="D40" s="21">
        <f>(D39)-(0)</f>
        <v>11795.510000000009</v>
      </c>
      <c r="E40" s="21">
        <f>(E39)-(0)</f>
        <v>18386.03999999999</v>
      </c>
      <c r="F40" s="21">
        <f t="shared" si="0"/>
        <v>69637.36</v>
      </c>
    </row>
    <row r="41" spans="1:9" x14ac:dyDescent="0.2">
      <c r="A41" s="19" t="s">
        <v>210</v>
      </c>
      <c r="B41" s="20"/>
      <c r="C41" s="20"/>
      <c r="D41" s="20"/>
      <c r="E41" s="20"/>
      <c r="F41" s="20"/>
    </row>
    <row r="42" spans="1:9" x14ac:dyDescent="0.2">
      <c r="A42" s="19" t="s">
        <v>211</v>
      </c>
      <c r="B42" s="20"/>
      <c r="C42" s="20"/>
      <c r="D42" s="20"/>
      <c r="E42" s="20"/>
      <c r="F42" s="18">
        <f t="shared" ref="F42:F105" si="1">(((B42)+(C42))+(D42))+(E42)</f>
        <v>0</v>
      </c>
    </row>
    <row r="43" spans="1:9" x14ac:dyDescent="0.2">
      <c r="A43" s="19" t="s">
        <v>212</v>
      </c>
      <c r="B43" s="20"/>
      <c r="C43" s="20"/>
      <c r="D43" s="20"/>
      <c r="E43" s="20"/>
      <c r="F43" s="18">
        <f t="shared" si="1"/>
        <v>0</v>
      </c>
    </row>
    <row r="44" spans="1:9" x14ac:dyDescent="0.2">
      <c r="A44" s="19" t="s">
        <v>564</v>
      </c>
      <c r="B44" s="18">
        <f>1735.5</f>
        <v>1735.5</v>
      </c>
      <c r="C44" s="20"/>
      <c r="D44" s="20"/>
      <c r="E44" s="20"/>
      <c r="F44" s="18">
        <f t="shared" si="1"/>
        <v>1735.5</v>
      </c>
    </row>
    <row r="45" spans="1:9" x14ac:dyDescent="0.2">
      <c r="A45" s="19" t="s">
        <v>213</v>
      </c>
      <c r="B45" s="20"/>
      <c r="C45" s="20"/>
      <c r="D45" s="20"/>
      <c r="E45" s="20"/>
      <c r="F45" s="18">
        <f t="shared" si="1"/>
        <v>0</v>
      </c>
    </row>
    <row r="46" spans="1:9" x14ac:dyDescent="0.2">
      <c r="A46" s="19" t="s">
        <v>214</v>
      </c>
      <c r="B46" s="18">
        <f>13461.54</f>
        <v>13461.54</v>
      </c>
      <c r="C46" s="20"/>
      <c r="D46" s="20"/>
      <c r="E46" s="20"/>
      <c r="F46" s="18">
        <f t="shared" si="1"/>
        <v>13461.54</v>
      </c>
    </row>
    <row r="47" spans="1:9" x14ac:dyDescent="0.2">
      <c r="A47" s="19" t="s">
        <v>579</v>
      </c>
      <c r="B47" s="18">
        <f>980.75</f>
        <v>980.75</v>
      </c>
      <c r="C47" s="20"/>
      <c r="D47" s="20"/>
      <c r="E47" s="20"/>
      <c r="F47" s="18">
        <f t="shared" si="1"/>
        <v>980.75</v>
      </c>
    </row>
    <row r="48" spans="1:9" x14ac:dyDescent="0.2">
      <c r="A48" s="19" t="s">
        <v>216</v>
      </c>
      <c r="B48" s="21">
        <f>((B45)+(B46))+(B47)</f>
        <v>14442.29</v>
      </c>
      <c r="C48" s="21">
        <f>((C45)+(C46))+(C47)</f>
        <v>0</v>
      </c>
      <c r="D48" s="21">
        <f>((D45)+(D46))+(D47)</f>
        <v>0</v>
      </c>
      <c r="E48" s="21">
        <f>((E45)+(E46))+(E47)</f>
        <v>0</v>
      </c>
      <c r="F48" s="21">
        <f t="shared" si="1"/>
        <v>14442.29</v>
      </c>
    </row>
    <row r="49" spans="1:6" x14ac:dyDescent="0.2">
      <c r="A49" s="19" t="s">
        <v>293</v>
      </c>
      <c r="B49" s="20"/>
      <c r="C49" s="20"/>
      <c r="D49" s="20"/>
      <c r="E49" s="20"/>
      <c r="F49" s="18">
        <f t="shared" si="1"/>
        <v>0</v>
      </c>
    </row>
    <row r="50" spans="1:6" x14ac:dyDescent="0.2">
      <c r="A50" s="19" t="s">
        <v>294</v>
      </c>
      <c r="B50" s="18">
        <f>303.05</f>
        <v>303.05</v>
      </c>
      <c r="C50" s="20"/>
      <c r="D50" s="20"/>
      <c r="E50" s="20"/>
      <c r="F50" s="18">
        <f t="shared" si="1"/>
        <v>303.05</v>
      </c>
    </row>
    <row r="51" spans="1:6" x14ac:dyDescent="0.2">
      <c r="A51" s="19" t="s">
        <v>295</v>
      </c>
      <c r="B51" s="21">
        <f>(B49)+(B50)</f>
        <v>303.05</v>
      </c>
      <c r="C51" s="21">
        <f>(C49)+(C50)</f>
        <v>0</v>
      </c>
      <c r="D51" s="21">
        <f>(D49)+(D50)</f>
        <v>0</v>
      </c>
      <c r="E51" s="21">
        <f>(E49)+(E50)</f>
        <v>0</v>
      </c>
      <c r="F51" s="21">
        <f t="shared" si="1"/>
        <v>303.05</v>
      </c>
    </row>
    <row r="52" spans="1:6" x14ac:dyDescent="0.2">
      <c r="A52" s="19" t="s">
        <v>217</v>
      </c>
      <c r="B52" s="21">
        <f>(((B43)+(B44))+(B48))+(B51)</f>
        <v>16480.84</v>
      </c>
      <c r="C52" s="21">
        <f>(((C43)+(C44))+(C48))+(C51)</f>
        <v>0</v>
      </c>
      <c r="D52" s="21">
        <f>(((D43)+(D44))+(D48))+(D51)</f>
        <v>0</v>
      </c>
      <c r="E52" s="21">
        <f>(((E43)+(E44))+(E48))+(E51)</f>
        <v>0</v>
      </c>
      <c r="F52" s="21">
        <f t="shared" si="1"/>
        <v>16480.84</v>
      </c>
    </row>
    <row r="53" spans="1:6" x14ac:dyDescent="0.2">
      <c r="A53" s="19" t="s">
        <v>218</v>
      </c>
      <c r="B53" s="20"/>
      <c r="C53" s="20"/>
      <c r="D53" s="20"/>
      <c r="E53" s="20"/>
      <c r="F53" s="18">
        <f t="shared" si="1"/>
        <v>0</v>
      </c>
    </row>
    <row r="54" spans="1:6" x14ac:dyDescent="0.2">
      <c r="A54" s="19" t="s">
        <v>298</v>
      </c>
      <c r="B54" s="18">
        <f>1010.81</f>
        <v>1010.81</v>
      </c>
      <c r="C54" s="20"/>
      <c r="D54" s="20"/>
      <c r="E54" s="20"/>
      <c r="F54" s="18">
        <f t="shared" si="1"/>
        <v>1010.81</v>
      </c>
    </row>
    <row r="55" spans="1:6" x14ac:dyDescent="0.2">
      <c r="A55" s="19" t="s">
        <v>420</v>
      </c>
      <c r="B55" s="18">
        <f>1618.71</f>
        <v>1618.71</v>
      </c>
      <c r="C55" s="20"/>
      <c r="D55" s="20"/>
      <c r="E55" s="20"/>
      <c r="F55" s="18">
        <f t="shared" si="1"/>
        <v>1618.71</v>
      </c>
    </row>
    <row r="56" spans="1:6" x14ac:dyDescent="0.2">
      <c r="A56" s="19" t="s">
        <v>588</v>
      </c>
      <c r="B56" s="20"/>
      <c r="C56" s="20"/>
      <c r="D56" s="20"/>
      <c r="E56" s="20"/>
      <c r="F56" s="18">
        <f t="shared" si="1"/>
        <v>0</v>
      </c>
    </row>
    <row r="57" spans="1:6" x14ac:dyDescent="0.2">
      <c r="A57" s="19" t="s">
        <v>589</v>
      </c>
      <c r="B57" s="18">
        <f>1068.72</f>
        <v>1068.72</v>
      </c>
      <c r="C57" s="20"/>
      <c r="D57" s="20"/>
      <c r="E57" s="20"/>
      <c r="F57" s="18">
        <f t="shared" si="1"/>
        <v>1068.72</v>
      </c>
    </row>
    <row r="58" spans="1:6" x14ac:dyDescent="0.2">
      <c r="A58" s="19" t="s">
        <v>590</v>
      </c>
      <c r="B58" s="21">
        <f>(B56)+(B57)</f>
        <v>1068.72</v>
      </c>
      <c r="C58" s="21">
        <f>(C56)+(C57)</f>
        <v>0</v>
      </c>
      <c r="D58" s="21">
        <f>(D56)+(D57)</f>
        <v>0</v>
      </c>
      <c r="E58" s="21">
        <f>(E56)+(E57)</f>
        <v>0</v>
      </c>
      <c r="F58" s="21">
        <f t="shared" si="1"/>
        <v>1068.72</v>
      </c>
    </row>
    <row r="59" spans="1:6" x14ac:dyDescent="0.2">
      <c r="A59" s="19" t="s">
        <v>220</v>
      </c>
      <c r="B59" s="18">
        <f>1440</f>
        <v>1440</v>
      </c>
      <c r="C59" s="20"/>
      <c r="D59" s="20"/>
      <c r="E59" s="20"/>
      <c r="F59" s="18">
        <f t="shared" si="1"/>
        <v>1440</v>
      </c>
    </row>
    <row r="60" spans="1:6" x14ac:dyDescent="0.2">
      <c r="A60" s="19" t="s">
        <v>368</v>
      </c>
      <c r="B60" s="18">
        <f>468.43</f>
        <v>468.43</v>
      </c>
      <c r="C60" s="20"/>
      <c r="D60" s="20"/>
      <c r="E60" s="20"/>
      <c r="F60" s="18">
        <f t="shared" si="1"/>
        <v>468.43</v>
      </c>
    </row>
    <row r="61" spans="1:6" x14ac:dyDescent="0.2">
      <c r="A61" s="19" t="s">
        <v>387</v>
      </c>
      <c r="B61" s="18">
        <f>32.45</f>
        <v>32.450000000000003</v>
      </c>
      <c r="C61" s="20"/>
      <c r="D61" s="20"/>
      <c r="E61" s="20"/>
      <c r="F61" s="18">
        <f t="shared" si="1"/>
        <v>32.450000000000003</v>
      </c>
    </row>
    <row r="62" spans="1:6" x14ac:dyDescent="0.2">
      <c r="A62" s="19" t="s">
        <v>221</v>
      </c>
      <c r="B62" s="21">
        <f>((((((B53)+(B54))+(B55))+(B58))+(B59))+(B60))+(B61)</f>
        <v>5639.12</v>
      </c>
      <c r="C62" s="21">
        <f>((((((C53)+(C54))+(C55))+(C58))+(C59))+(C60))+(C61)</f>
        <v>0</v>
      </c>
      <c r="D62" s="21">
        <f>((((((D53)+(D54))+(D55))+(D58))+(D59))+(D60))+(D61)</f>
        <v>0</v>
      </c>
      <c r="E62" s="21">
        <f>((((((E53)+(E54))+(E55))+(E58))+(E59))+(E60))+(E61)</f>
        <v>0</v>
      </c>
      <c r="F62" s="21">
        <f t="shared" si="1"/>
        <v>5639.12</v>
      </c>
    </row>
    <row r="63" spans="1:6" x14ac:dyDescent="0.2">
      <c r="A63" s="19" t="s">
        <v>222</v>
      </c>
      <c r="B63" s="20"/>
      <c r="C63" s="20"/>
      <c r="D63" s="20"/>
      <c r="E63" s="20"/>
      <c r="F63" s="18">
        <f t="shared" si="1"/>
        <v>0</v>
      </c>
    </row>
    <row r="64" spans="1:6" x14ac:dyDescent="0.2">
      <c r="A64" s="19" t="s">
        <v>591</v>
      </c>
      <c r="B64" s="18">
        <f>435</f>
        <v>435</v>
      </c>
      <c r="C64" s="20"/>
      <c r="D64" s="20"/>
      <c r="E64" s="20"/>
      <c r="F64" s="18">
        <f t="shared" si="1"/>
        <v>435</v>
      </c>
    </row>
    <row r="65" spans="1:6" x14ac:dyDescent="0.2">
      <c r="A65" s="19" t="s">
        <v>422</v>
      </c>
      <c r="B65" s="18">
        <f>173.92</f>
        <v>173.92</v>
      </c>
      <c r="C65" s="20"/>
      <c r="D65" s="20"/>
      <c r="E65" s="20"/>
      <c r="F65" s="18">
        <f t="shared" si="1"/>
        <v>173.92</v>
      </c>
    </row>
    <row r="66" spans="1:6" x14ac:dyDescent="0.2">
      <c r="A66" s="19" t="s">
        <v>224</v>
      </c>
      <c r="B66" s="18">
        <f>1037.91</f>
        <v>1037.9100000000001</v>
      </c>
      <c r="C66" s="20"/>
      <c r="D66" s="20"/>
      <c r="E66" s="20"/>
      <c r="F66" s="18">
        <f t="shared" si="1"/>
        <v>1037.9100000000001</v>
      </c>
    </row>
    <row r="67" spans="1:6" x14ac:dyDescent="0.2">
      <c r="A67" s="19" t="s">
        <v>397</v>
      </c>
      <c r="B67" s="20"/>
      <c r="C67" s="20"/>
      <c r="D67" s="20"/>
      <c r="E67" s="20"/>
      <c r="F67" s="18">
        <f t="shared" si="1"/>
        <v>0</v>
      </c>
    </row>
    <row r="68" spans="1:6" x14ac:dyDescent="0.2">
      <c r="A68" s="19" t="s">
        <v>279</v>
      </c>
      <c r="B68" s="18">
        <f>90.39</f>
        <v>90.39</v>
      </c>
      <c r="C68" s="20"/>
      <c r="D68" s="20"/>
      <c r="E68" s="20"/>
      <c r="F68" s="18">
        <f t="shared" si="1"/>
        <v>90.39</v>
      </c>
    </row>
    <row r="69" spans="1:6" x14ac:dyDescent="0.2">
      <c r="A69" s="19" t="s">
        <v>592</v>
      </c>
      <c r="B69" s="18">
        <f>30</f>
        <v>30</v>
      </c>
      <c r="C69" s="20"/>
      <c r="D69" s="20"/>
      <c r="E69" s="20"/>
      <c r="F69" s="18">
        <f t="shared" si="1"/>
        <v>30</v>
      </c>
    </row>
    <row r="70" spans="1:6" x14ac:dyDescent="0.2">
      <c r="A70" s="19" t="s">
        <v>398</v>
      </c>
      <c r="B70" s="21">
        <f>((B67)+(B68))+(B69)</f>
        <v>120.39</v>
      </c>
      <c r="C70" s="21">
        <f>((C67)+(C68))+(C69)</f>
        <v>0</v>
      </c>
      <c r="D70" s="21">
        <f>((D67)+(D68))+(D69)</f>
        <v>0</v>
      </c>
      <c r="E70" s="21">
        <f>((E67)+(E68))+(E69)</f>
        <v>0</v>
      </c>
      <c r="F70" s="21">
        <f t="shared" si="1"/>
        <v>120.39</v>
      </c>
    </row>
    <row r="71" spans="1:6" x14ac:dyDescent="0.2">
      <c r="A71" s="19" t="s">
        <v>225</v>
      </c>
      <c r="B71" s="20"/>
      <c r="C71" s="20"/>
      <c r="D71" s="20"/>
      <c r="E71" s="20"/>
      <c r="F71" s="18">
        <f t="shared" si="1"/>
        <v>0</v>
      </c>
    </row>
    <row r="72" spans="1:6" x14ac:dyDescent="0.2">
      <c r="A72" s="19" t="s">
        <v>301</v>
      </c>
      <c r="B72" s="18">
        <f>23.95</f>
        <v>23.95</v>
      </c>
      <c r="C72" s="20"/>
      <c r="D72" s="20"/>
      <c r="E72" s="20"/>
      <c r="F72" s="18">
        <f t="shared" si="1"/>
        <v>23.95</v>
      </c>
    </row>
    <row r="73" spans="1:6" x14ac:dyDescent="0.2">
      <c r="A73" s="19" t="s">
        <v>227</v>
      </c>
      <c r="B73" s="21">
        <f>(B71)+(B72)</f>
        <v>23.95</v>
      </c>
      <c r="C73" s="21">
        <f>(C71)+(C72)</f>
        <v>0</v>
      </c>
      <c r="D73" s="21">
        <f>(D71)+(D72)</f>
        <v>0</v>
      </c>
      <c r="E73" s="21">
        <f>(E71)+(E72)</f>
        <v>0</v>
      </c>
      <c r="F73" s="21">
        <f t="shared" si="1"/>
        <v>23.95</v>
      </c>
    </row>
    <row r="74" spans="1:6" x14ac:dyDescent="0.2">
      <c r="A74" s="19" t="s">
        <v>302</v>
      </c>
      <c r="B74" s="18">
        <f>231.21</f>
        <v>231.21</v>
      </c>
      <c r="C74" s="20"/>
      <c r="D74" s="20"/>
      <c r="E74" s="20"/>
      <c r="F74" s="18">
        <f t="shared" si="1"/>
        <v>231.21</v>
      </c>
    </row>
    <row r="75" spans="1:6" x14ac:dyDescent="0.2">
      <c r="A75" s="19" t="s">
        <v>230</v>
      </c>
      <c r="B75" s="18">
        <f>876</f>
        <v>876</v>
      </c>
      <c r="C75" s="20"/>
      <c r="D75" s="20"/>
      <c r="E75" s="20"/>
      <c r="F75" s="18">
        <f t="shared" si="1"/>
        <v>876</v>
      </c>
    </row>
    <row r="76" spans="1:6" x14ac:dyDescent="0.2">
      <c r="A76" s="19" t="s">
        <v>305</v>
      </c>
      <c r="B76" s="18">
        <f>38.88</f>
        <v>38.880000000000003</v>
      </c>
      <c r="C76" s="20"/>
      <c r="D76" s="20"/>
      <c r="E76" s="20"/>
      <c r="F76" s="18">
        <f t="shared" si="1"/>
        <v>38.880000000000003</v>
      </c>
    </row>
    <row r="77" spans="1:6" x14ac:dyDescent="0.2">
      <c r="A77" s="19" t="s">
        <v>232</v>
      </c>
      <c r="B77" s="21">
        <f>((((((((B63)+(B64))+(B65))+(B66))+(B70))+(B73))+(B74))+(B75))+(B76)</f>
        <v>2937.26</v>
      </c>
      <c r="C77" s="21">
        <f>((((((((C63)+(C64))+(C65))+(C66))+(C70))+(C73))+(C74))+(C75))+(C76)</f>
        <v>0</v>
      </c>
      <c r="D77" s="21">
        <f>((((((((D63)+(D64))+(D65))+(D66))+(D70))+(D73))+(D74))+(D75))+(D76)</f>
        <v>0</v>
      </c>
      <c r="E77" s="21">
        <f>((((((((E63)+(E64))+(E65))+(E66))+(E70))+(E73))+(E74))+(E75))+(E76)</f>
        <v>0</v>
      </c>
      <c r="F77" s="21">
        <f t="shared" si="1"/>
        <v>2937.26</v>
      </c>
    </row>
    <row r="78" spans="1:6" x14ac:dyDescent="0.2">
      <c r="A78" s="19" t="s">
        <v>233</v>
      </c>
      <c r="B78" s="20"/>
      <c r="C78" s="20"/>
      <c r="D78" s="20"/>
      <c r="E78" s="20"/>
      <c r="F78" s="18">
        <f t="shared" si="1"/>
        <v>0</v>
      </c>
    </row>
    <row r="79" spans="1:6" x14ac:dyDescent="0.2">
      <c r="A79" s="19" t="s">
        <v>234</v>
      </c>
      <c r="B79" s="20"/>
      <c r="C79" s="20"/>
      <c r="D79" s="20"/>
      <c r="E79" s="20"/>
      <c r="F79" s="18">
        <f t="shared" si="1"/>
        <v>0</v>
      </c>
    </row>
    <row r="80" spans="1:6" x14ac:dyDescent="0.2">
      <c r="A80" s="19" t="s">
        <v>322</v>
      </c>
      <c r="B80" s="18">
        <f>254.25</f>
        <v>254.25</v>
      </c>
      <c r="C80" s="20"/>
      <c r="D80" s="20"/>
      <c r="E80" s="20"/>
      <c r="F80" s="18">
        <f t="shared" si="1"/>
        <v>254.25</v>
      </c>
    </row>
    <row r="81" spans="1:6" x14ac:dyDescent="0.2">
      <c r="A81" s="19" t="s">
        <v>235</v>
      </c>
      <c r="B81" s="18">
        <f>3894.19</f>
        <v>3894.19</v>
      </c>
      <c r="C81" s="20"/>
      <c r="D81" s="20"/>
      <c r="E81" s="20"/>
      <c r="F81" s="18">
        <f t="shared" si="1"/>
        <v>3894.19</v>
      </c>
    </row>
    <row r="82" spans="1:6" x14ac:dyDescent="0.2">
      <c r="A82" s="19" t="s">
        <v>236</v>
      </c>
      <c r="B82" s="21">
        <f>((B79)+(B80))+(B81)</f>
        <v>4148.4400000000005</v>
      </c>
      <c r="C82" s="21">
        <f>((C79)+(C80))+(C81)</f>
        <v>0</v>
      </c>
      <c r="D82" s="21">
        <f>((D79)+(D80))+(D81)</f>
        <v>0</v>
      </c>
      <c r="E82" s="21">
        <f>((E79)+(E80))+(E81)</f>
        <v>0</v>
      </c>
      <c r="F82" s="21">
        <f t="shared" si="1"/>
        <v>4148.4400000000005</v>
      </c>
    </row>
    <row r="83" spans="1:6" x14ac:dyDescent="0.2">
      <c r="A83" s="19" t="s">
        <v>237</v>
      </c>
      <c r="B83" s="20"/>
      <c r="C83" s="20"/>
      <c r="D83" s="20"/>
      <c r="E83" s="20"/>
      <c r="F83" s="18">
        <f t="shared" si="1"/>
        <v>0</v>
      </c>
    </row>
    <row r="84" spans="1:6" x14ac:dyDescent="0.2">
      <c r="A84" s="19" t="s">
        <v>238</v>
      </c>
      <c r="B84" s="18">
        <f>25.76</f>
        <v>25.76</v>
      </c>
      <c r="C84" s="20"/>
      <c r="D84" s="20"/>
      <c r="E84" s="20"/>
      <c r="F84" s="18">
        <f t="shared" si="1"/>
        <v>25.76</v>
      </c>
    </row>
    <row r="85" spans="1:6" x14ac:dyDescent="0.2">
      <c r="A85" s="19" t="s">
        <v>239</v>
      </c>
      <c r="B85" s="21">
        <f>(B83)+(B84)</f>
        <v>25.76</v>
      </c>
      <c r="C85" s="21">
        <f>(C83)+(C84)</f>
        <v>0</v>
      </c>
      <c r="D85" s="21">
        <f>(D83)+(D84)</f>
        <v>0</v>
      </c>
      <c r="E85" s="21">
        <f>(E83)+(E84)</f>
        <v>0</v>
      </c>
      <c r="F85" s="21">
        <f t="shared" si="1"/>
        <v>25.76</v>
      </c>
    </row>
    <row r="86" spans="1:6" x14ac:dyDescent="0.2">
      <c r="A86" s="19" t="s">
        <v>580</v>
      </c>
      <c r="B86" s="18">
        <f>954</f>
        <v>954</v>
      </c>
      <c r="C86" s="20"/>
      <c r="D86" s="20"/>
      <c r="E86" s="20"/>
      <c r="F86" s="18">
        <f t="shared" si="1"/>
        <v>954</v>
      </c>
    </row>
    <row r="87" spans="1:6" x14ac:dyDescent="0.2">
      <c r="A87" s="19" t="s">
        <v>333</v>
      </c>
      <c r="B87" s="20"/>
      <c r="C87" s="20"/>
      <c r="D87" s="20"/>
      <c r="E87" s="20"/>
      <c r="F87" s="18">
        <f t="shared" si="1"/>
        <v>0</v>
      </c>
    </row>
    <row r="88" spans="1:6" x14ac:dyDescent="0.2">
      <c r="A88" s="19" t="s">
        <v>337</v>
      </c>
      <c r="B88" s="18">
        <f>93.52</f>
        <v>93.52</v>
      </c>
      <c r="C88" s="20"/>
      <c r="D88" s="20"/>
      <c r="E88" s="20"/>
      <c r="F88" s="18">
        <f t="shared" si="1"/>
        <v>93.52</v>
      </c>
    </row>
    <row r="89" spans="1:6" x14ac:dyDescent="0.2">
      <c r="A89" s="19" t="s">
        <v>342</v>
      </c>
      <c r="B89" s="21">
        <f>(B87)+(B88)</f>
        <v>93.52</v>
      </c>
      <c r="C89" s="21">
        <f>(C87)+(C88)</f>
        <v>0</v>
      </c>
      <c r="D89" s="21">
        <f>(D87)+(D88)</f>
        <v>0</v>
      </c>
      <c r="E89" s="21">
        <f>(E87)+(E88)</f>
        <v>0</v>
      </c>
      <c r="F89" s="21">
        <f t="shared" si="1"/>
        <v>93.52</v>
      </c>
    </row>
    <row r="90" spans="1:6" x14ac:dyDescent="0.2">
      <c r="A90" s="19" t="s">
        <v>240</v>
      </c>
      <c r="B90" s="21">
        <f>((((B78)+(B82))+(B85))+(B86))+(B89)</f>
        <v>5221.7200000000012</v>
      </c>
      <c r="C90" s="21">
        <f>((((C78)+(C82))+(C85))+(C86))+(C89)</f>
        <v>0</v>
      </c>
      <c r="D90" s="21">
        <f>((((D78)+(D82))+(D85))+(D86))+(D89)</f>
        <v>0</v>
      </c>
      <c r="E90" s="21">
        <f>((((E78)+(E82))+(E85))+(E86))+(E89)</f>
        <v>0</v>
      </c>
      <c r="F90" s="21">
        <f t="shared" si="1"/>
        <v>5221.7200000000012</v>
      </c>
    </row>
    <row r="91" spans="1:6" x14ac:dyDescent="0.2">
      <c r="A91" s="19" t="s">
        <v>241</v>
      </c>
      <c r="B91" s="21">
        <f>((((B42)+(B52))+(B62))+(B77))+(B90)</f>
        <v>30278.940000000002</v>
      </c>
      <c r="C91" s="21">
        <f>((((C42)+(C52))+(C62))+(C77))+(C90)</f>
        <v>0</v>
      </c>
      <c r="D91" s="21">
        <f>((((D42)+(D52))+(D62))+(D77))+(D90)</f>
        <v>0</v>
      </c>
      <c r="E91" s="21">
        <f>((((E42)+(E52))+(E62))+(E77))+(E90)</f>
        <v>0</v>
      </c>
      <c r="F91" s="21">
        <f t="shared" si="1"/>
        <v>30278.940000000002</v>
      </c>
    </row>
    <row r="92" spans="1:6" x14ac:dyDescent="0.2">
      <c r="A92" s="19" t="s">
        <v>242</v>
      </c>
      <c r="B92" s="20"/>
      <c r="C92" s="20"/>
      <c r="D92" s="20"/>
      <c r="E92" s="20"/>
      <c r="F92" s="18">
        <f t="shared" si="1"/>
        <v>0</v>
      </c>
    </row>
    <row r="93" spans="1:6" x14ac:dyDescent="0.2">
      <c r="A93" s="19" t="s">
        <v>243</v>
      </c>
      <c r="B93" s="20"/>
      <c r="C93" s="20"/>
      <c r="D93" s="20"/>
      <c r="E93" s="20"/>
      <c r="F93" s="18">
        <f t="shared" si="1"/>
        <v>0</v>
      </c>
    </row>
    <row r="94" spans="1:6" x14ac:dyDescent="0.2">
      <c r="A94" s="19" t="s">
        <v>244</v>
      </c>
      <c r="B94" s="20"/>
      <c r="C94" s="20"/>
      <c r="D94" s="20"/>
      <c r="E94" s="20"/>
      <c r="F94" s="18">
        <f t="shared" si="1"/>
        <v>0</v>
      </c>
    </row>
    <row r="95" spans="1:6" x14ac:dyDescent="0.2">
      <c r="A95" s="19" t="s">
        <v>385</v>
      </c>
      <c r="B95" s="20"/>
      <c r="C95" s="20"/>
      <c r="D95" s="20"/>
      <c r="E95" s="20"/>
      <c r="F95" s="18">
        <f t="shared" si="1"/>
        <v>0</v>
      </c>
    </row>
    <row r="96" spans="1:6" x14ac:dyDescent="0.2">
      <c r="A96" s="19" t="s">
        <v>396</v>
      </c>
      <c r="B96" s="20"/>
      <c r="C96" s="20"/>
      <c r="D96" s="20"/>
      <c r="E96" s="18">
        <f>5307.68</f>
        <v>5307.68</v>
      </c>
      <c r="F96" s="18">
        <f t="shared" si="1"/>
        <v>5307.68</v>
      </c>
    </row>
    <row r="97" spans="1:6" x14ac:dyDescent="0.2">
      <c r="A97" s="19" t="s">
        <v>501</v>
      </c>
      <c r="B97" s="20"/>
      <c r="C97" s="20"/>
      <c r="D97" s="20"/>
      <c r="E97" s="18">
        <f>2692.32</f>
        <v>2692.32</v>
      </c>
      <c r="F97" s="18">
        <f t="shared" si="1"/>
        <v>2692.32</v>
      </c>
    </row>
    <row r="98" spans="1:6" x14ac:dyDescent="0.2">
      <c r="A98" s="19" t="s">
        <v>392</v>
      </c>
      <c r="B98" s="20"/>
      <c r="C98" s="20"/>
      <c r="D98" s="20"/>
      <c r="E98" s="18">
        <f>612</f>
        <v>612</v>
      </c>
      <c r="F98" s="18">
        <f t="shared" si="1"/>
        <v>612</v>
      </c>
    </row>
    <row r="99" spans="1:6" x14ac:dyDescent="0.2">
      <c r="A99" s="19" t="s">
        <v>593</v>
      </c>
      <c r="B99" s="20"/>
      <c r="C99" s="20"/>
      <c r="D99" s="20"/>
      <c r="E99" s="18">
        <f>5538.59</f>
        <v>5538.59</v>
      </c>
      <c r="F99" s="18">
        <f t="shared" si="1"/>
        <v>5538.59</v>
      </c>
    </row>
    <row r="100" spans="1:6" x14ac:dyDescent="0.2">
      <c r="A100" s="19" t="s">
        <v>388</v>
      </c>
      <c r="B100" s="20"/>
      <c r="C100" s="20"/>
      <c r="D100" s="20"/>
      <c r="E100" s="18">
        <f>798.75</f>
        <v>798.75</v>
      </c>
      <c r="F100" s="18">
        <f t="shared" si="1"/>
        <v>798.75</v>
      </c>
    </row>
    <row r="101" spans="1:6" x14ac:dyDescent="0.2">
      <c r="A101" s="19" t="s">
        <v>594</v>
      </c>
      <c r="B101" s="20"/>
      <c r="C101" s="20"/>
      <c r="D101" s="20"/>
      <c r="E101" s="18">
        <f>700</f>
        <v>700</v>
      </c>
      <c r="F101" s="18">
        <f t="shared" si="1"/>
        <v>700</v>
      </c>
    </row>
    <row r="102" spans="1:6" x14ac:dyDescent="0.2">
      <c r="A102" s="19" t="s">
        <v>386</v>
      </c>
      <c r="B102" s="21">
        <f>((((((B95)+(B96))+(B97))+(B98))+(B99))+(B100))+(B101)</f>
        <v>0</v>
      </c>
      <c r="C102" s="21">
        <f>((((((C95)+(C96))+(C97))+(C98))+(C99))+(C100))+(C101)</f>
        <v>0</v>
      </c>
      <c r="D102" s="21">
        <f>((((((D95)+(D96))+(D97))+(D98))+(D99))+(D100))+(D101)</f>
        <v>0</v>
      </c>
      <c r="E102" s="21">
        <f>((((((E95)+(E96))+(E97))+(E98))+(E99))+(E100))+(E101)</f>
        <v>15649.34</v>
      </c>
      <c r="F102" s="21">
        <f t="shared" si="1"/>
        <v>15649.34</v>
      </c>
    </row>
    <row r="103" spans="1:6" x14ac:dyDescent="0.2">
      <c r="A103" s="19" t="s">
        <v>245</v>
      </c>
      <c r="B103" s="21">
        <f>(B94)+(B102)</f>
        <v>0</v>
      </c>
      <c r="C103" s="21">
        <f>(C94)+(C102)</f>
        <v>0</v>
      </c>
      <c r="D103" s="21">
        <f>(D94)+(D102)</f>
        <v>0</v>
      </c>
      <c r="E103" s="21">
        <f>(E94)+(E102)</f>
        <v>15649.34</v>
      </c>
      <c r="F103" s="21">
        <f t="shared" si="1"/>
        <v>15649.34</v>
      </c>
    </row>
    <row r="104" spans="1:6" x14ac:dyDescent="0.2">
      <c r="A104" s="19" t="s">
        <v>246</v>
      </c>
      <c r="B104" s="20"/>
      <c r="C104" s="20"/>
      <c r="D104" s="20"/>
      <c r="E104" s="20"/>
      <c r="F104" s="18">
        <f t="shared" si="1"/>
        <v>0</v>
      </c>
    </row>
    <row r="105" spans="1:6" x14ac:dyDescent="0.2">
      <c r="A105" s="19" t="s">
        <v>247</v>
      </c>
      <c r="B105" s="20"/>
      <c r="C105" s="20"/>
      <c r="D105" s="20"/>
      <c r="E105" s="18">
        <f>2465.66</f>
        <v>2465.66</v>
      </c>
      <c r="F105" s="18">
        <f t="shared" si="1"/>
        <v>2465.66</v>
      </c>
    </row>
    <row r="106" spans="1:6" x14ac:dyDescent="0.2">
      <c r="A106" s="19" t="s">
        <v>421</v>
      </c>
      <c r="B106" s="20"/>
      <c r="C106" s="20"/>
      <c r="D106" s="20"/>
      <c r="E106" s="18">
        <f>215.05</f>
        <v>215.05</v>
      </c>
      <c r="F106" s="18">
        <f t="shared" ref="F106:F147" si="2">(((B106)+(C106))+(D106))+(E106)</f>
        <v>215.05</v>
      </c>
    </row>
    <row r="107" spans="1:6" x14ac:dyDescent="0.2">
      <c r="A107" s="19" t="s">
        <v>248</v>
      </c>
      <c r="B107" s="21">
        <f>((B104)+(B105))+(B106)</f>
        <v>0</v>
      </c>
      <c r="C107" s="21">
        <f>((C104)+(C105))+(C106)</f>
        <v>0</v>
      </c>
      <c r="D107" s="21">
        <f>((D104)+(D105))+(D106)</f>
        <v>0</v>
      </c>
      <c r="E107" s="21">
        <f>((E104)+(E105))+(E106)</f>
        <v>2680.71</v>
      </c>
      <c r="F107" s="21">
        <f t="shared" si="2"/>
        <v>2680.71</v>
      </c>
    </row>
    <row r="108" spans="1:6" x14ac:dyDescent="0.2">
      <c r="A108" s="19" t="s">
        <v>441</v>
      </c>
      <c r="B108" s="20"/>
      <c r="C108" s="20"/>
      <c r="D108" s="20"/>
      <c r="E108" s="20"/>
      <c r="F108" s="18">
        <f t="shared" si="2"/>
        <v>0</v>
      </c>
    </row>
    <row r="109" spans="1:6" x14ac:dyDescent="0.2">
      <c r="A109" s="19" t="s">
        <v>447</v>
      </c>
      <c r="B109" s="20"/>
      <c r="C109" s="20"/>
      <c r="D109" s="20"/>
      <c r="E109" s="18">
        <f>2333.21</f>
        <v>2333.21</v>
      </c>
      <c r="F109" s="18">
        <f t="shared" si="2"/>
        <v>2333.21</v>
      </c>
    </row>
    <row r="110" spans="1:6" x14ac:dyDescent="0.2">
      <c r="A110" s="19" t="s">
        <v>474</v>
      </c>
      <c r="B110" s="20"/>
      <c r="C110" s="20"/>
      <c r="D110" s="20"/>
      <c r="E110" s="18">
        <f>1926.32</f>
        <v>1926.32</v>
      </c>
      <c r="F110" s="18">
        <f t="shared" si="2"/>
        <v>1926.32</v>
      </c>
    </row>
    <row r="111" spans="1:6" x14ac:dyDescent="0.2">
      <c r="A111" s="19" t="s">
        <v>499</v>
      </c>
      <c r="B111" s="20"/>
      <c r="C111" s="20"/>
      <c r="D111" s="20"/>
      <c r="E111" s="18">
        <f>130.03</f>
        <v>130.03</v>
      </c>
      <c r="F111" s="18">
        <f t="shared" si="2"/>
        <v>130.03</v>
      </c>
    </row>
    <row r="112" spans="1:6" x14ac:dyDescent="0.2">
      <c r="A112" s="19" t="s">
        <v>541</v>
      </c>
      <c r="B112" s="20"/>
      <c r="C112" s="20"/>
      <c r="D112" s="20"/>
      <c r="E112" s="18">
        <f>485.75</f>
        <v>485.75</v>
      </c>
      <c r="F112" s="18">
        <f t="shared" si="2"/>
        <v>485.75</v>
      </c>
    </row>
    <row r="113" spans="1:6" x14ac:dyDescent="0.2">
      <c r="A113" s="19" t="s">
        <v>448</v>
      </c>
      <c r="B113" s="21">
        <f>((((B108)+(B109))+(B110))+(B111))+(B112)</f>
        <v>0</v>
      </c>
      <c r="C113" s="21">
        <f>((((C108)+(C109))+(C110))+(C111))+(C112)</f>
        <v>0</v>
      </c>
      <c r="D113" s="21">
        <f>((((D108)+(D109))+(D110))+(D111))+(D112)</f>
        <v>0</v>
      </c>
      <c r="E113" s="21">
        <f>((((E108)+(E109))+(E110))+(E111))+(E112)</f>
        <v>4875.3099999999995</v>
      </c>
      <c r="F113" s="21">
        <f t="shared" si="2"/>
        <v>4875.3099999999995</v>
      </c>
    </row>
    <row r="114" spans="1:6" x14ac:dyDescent="0.2">
      <c r="A114" s="19" t="s">
        <v>250</v>
      </c>
      <c r="B114" s="20"/>
      <c r="C114" s="20"/>
      <c r="D114" s="20"/>
      <c r="E114" s="20"/>
      <c r="F114" s="18">
        <f t="shared" si="2"/>
        <v>0</v>
      </c>
    </row>
    <row r="115" spans="1:6" x14ac:dyDescent="0.2">
      <c r="A115" s="19" t="s">
        <v>251</v>
      </c>
      <c r="B115" s="20"/>
      <c r="C115" s="20"/>
      <c r="D115" s="20"/>
      <c r="E115" s="18">
        <f>271.07</f>
        <v>271.07</v>
      </c>
      <c r="F115" s="18">
        <f t="shared" si="2"/>
        <v>271.07</v>
      </c>
    </row>
    <row r="116" spans="1:6" x14ac:dyDescent="0.2">
      <c r="A116" s="19" t="s">
        <v>344</v>
      </c>
      <c r="B116" s="20"/>
      <c r="C116" s="20"/>
      <c r="D116" s="20"/>
      <c r="E116" s="18">
        <f>336.94</f>
        <v>336.94</v>
      </c>
      <c r="F116" s="18">
        <f t="shared" si="2"/>
        <v>336.94</v>
      </c>
    </row>
    <row r="117" spans="1:6" x14ac:dyDescent="0.2">
      <c r="A117" s="19" t="s">
        <v>543</v>
      </c>
      <c r="B117" s="20"/>
      <c r="C117" s="20"/>
      <c r="D117" s="20"/>
      <c r="E117" s="18">
        <f>128.32</f>
        <v>128.32</v>
      </c>
      <c r="F117" s="18">
        <f t="shared" si="2"/>
        <v>128.32</v>
      </c>
    </row>
    <row r="118" spans="1:6" x14ac:dyDescent="0.2">
      <c r="A118" s="19" t="s">
        <v>252</v>
      </c>
      <c r="B118" s="21">
        <f>(((B114)+(B115))+(B116))+(B117)</f>
        <v>0</v>
      </c>
      <c r="C118" s="21">
        <f>(((C114)+(C115))+(C116))+(C117)</f>
        <v>0</v>
      </c>
      <c r="D118" s="21">
        <f>(((D114)+(D115))+(D116))+(D117)</f>
        <v>0</v>
      </c>
      <c r="E118" s="21">
        <f>(((E114)+(E115))+(E116))+(E117)</f>
        <v>736.32999999999993</v>
      </c>
      <c r="F118" s="21">
        <f t="shared" si="2"/>
        <v>736.32999999999993</v>
      </c>
    </row>
    <row r="119" spans="1:6" x14ac:dyDescent="0.2">
      <c r="A119" s="19" t="s">
        <v>253</v>
      </c>
      <c r="B119" s="21">
        <f>((((B93)+(B103))+(B107))+(B113))+(B118)</f>
        <v>0</v>
      </c>
      <c r="C119" s="21">
        <f>((((C93)+(C103))+(C107))+(C113))+(C118)</f>
        <v>0</v>
      </c>
      <c r="D119" s="21">
        <f>((((D93)+(D103))+(D107))+(D113))+(D118)</f>
        <v>0</v>
      </c>
      <c r="E119" s="21">
        <f>((((E93)+(E103))+(E107))+(E113))+(E118)</f>
        <v>23941.690000000002</v>
      </c>
      <c r="F119" s="21">
        <f t="shared" si="2"/>
        <v>23941.690000000002</v>
      </c>
    </row>
    <row r="120" spans="1:6" x14ac:dyDescent="0.2">
      <c r="A120" s="19" t="s">
        <v>346</v>
      </c>
      <c r="B120" s="20"/>
      <c r="C120" s="20"/>
      <c r="D120" s="20"/>
      <c r="E120" s="20"/>
      <c r="F120" s="18">
        <f t="shared" si="2"/>
        <v>0</v>
      </c>
    </row>
    <row r="121" spans="1:6" x14ac:dyDescent="0.2">
      <c r="A121" s="19" t="s">
        <v>350</v>
      </c>
      <c r="B121" s="20"/>
      <c r="C121" s="20"/>
      <c r="D121" s="18">
        <f>15000</f>
        <v>15000</v>
      </c>
      <c r="E121" s="20"/>
      <c r="F121" s="18">
        <f t="shared" si="2"/>
        <v>15000</v>
      </c>
    </row>
    <row r="122" spans="1:6" x14ac:dyDescent="0.2">
      <c r="A122" s="19" t="s">
        <v>351</v>
      </c>
      <c r="B122" s="20"/>
      <c r="C122" s="20"/>
      <c r="D122" s="20"/>
      <c r="E122" s="20"/>
      <c r="F122" s="18">
        <f t="shared" si="2"/>
        <v>0</v>
      </c>
    </row>
    <row r="123" spans="1:6" x14ac:dyDescent="0.2">
      <c r="A123" s="19" t="s">
        <v>371</v>
      </c>
      <c r="B123" s="20"/>
      <c r="C123" s="20"/>
      <c r="D123" s="18">
        <f>58.28</f>
        <v>58.28</v>
      </c>
      <c r="E123" s="20"/>
      <c r="F123" s="18">
        <f t="shared" si="2"/>
        <v>58.28</v>
      </c>
    </row>
    <row r="124" spans="1:6" x14ac:dyDescent="0.2">
      <c r="A124" s="19" t="s">
        <v>352</v>
      </c>
      <c r="B124" s="21">
        <f>(B122)+(B123)</f>
        <v>0</v>
      </c>
      <c r="C124" s="21">
        <f>(C122)+(C123)</f>
        <v>0</v>
      </c>
      <c r="D124" s="21">
        <f>(D122)+(D123)</f>
        <v>58.28</v>
      </c>
      <c r="E124" s="21">
        <f>(E122)+(E123)</f>
        <v>0</v>
      </c>
      <c r="F124" s="21">
        <f t="shared" si="2"/>
        <v>58.28</v>
      </c>
    </row>
    <row r="125" spans="1:6" x14ac:dyDescent="0.2">
      <c r="A125" s="19" t="s">
        <v>353</v>
      </c>
      <c r="B125" s="21">
        <f>((B120)+(B121))+(B124)</f>
        <v>0</v>
      </c>
      <c r="C125" s="21">
        <f>((C120)+(C121))+(C124)</f>
        <v>0</v>
      </c>
      <c r="D125" s="21">
        <f>((D120)+(D121))+(D124)</f>
        <v>15058.28</v>
      </c>
      <c r="E125" s="21">
        <f>((E120)+(E121))+(E124)</f>
        <v>0</v>
      </c>
      <c r="F125" s="21">
        <f t="shared" si="2"/>
        <v>15058.28</v>
      </c>
    </row>
    <row r="126" spans="1:6" x14ac:dyDescent="0.2">
      <c r="A126" s="19" t="s">
        <v>254</v>
      </c>
      <c r="B126" s="20"/>
      <c r="C126" s="20"/>
      <c r="D126" s="20"/>
      <c r="E126" s="20"/>
      <c r="F126" s="18">
        <f t="shared" si="2"/>
        <v>0</v>
      </c>
    </row>
    <row r="127" spans="1:6" x14ac:dyDescent="0.2">
      <c r="A127" s="19" t="s">
        <v>255</v>
      </c>
      <c r="B127" s="20"/>
      <c r="C127" s="20"/>
      <c r="D127" s="20"/>
      <c r="E127" s="20"/>
      <c r="F127" s="18">
        <f t="shared" si="2"/>
        <v>0</v>
      </c>
    </row>
    <row r="128" spans="1:6" x14ac:dyDescent="0.2">
      <c r="A128" s="19" t="s">
        <v>258</v>
      </c>
      <c r="B128" s="20"/>
      <c r="C128" s="20"/>
      <c r="D128" s="20"/>
      <c r="E128" s="18">
        <f>142.58</f>
        <v>142.58000000000001</v>
      </c>
      <c r="F128" s="18">
        <f t="shared" si="2"/>
        <v>142.58000000000001</v>
      </c>
    </row>
    <row r="129" spans="1:6" x14ac:dyDescent="0.2">
      <c r="A129" s="19" t="s">
        <v>427</v>
      </c>
      <c r="B129" s="20"/>
      <c r="C129" s="20"/>
      <c r="D129" s="20"/>
      <c r="E129" s="18">
        <f>66</f>
        <v>66</v>
      </c>
      <c r="F129" s="18">
        <f t="shared" si="2"/>
        <v>66</v>
      </c>
    </row>
    <row r="130" spans="1:6" x14ac:dyDescent="0.2">
      <c r="A130" s="19" t="s">
        <v>259</v>
      </c>
      <c r="B130" s="20"/>
      <c r="C130" s="20"/>
      <c r="D130" s="20"/>
      <c r="E130" s="18">
        <f>100</f>
        <v>100</v>
      </c>
      <c r="F130" s="18">
        <f t="shared" si="2"/>
        <v>100</v>
      </c>
    </row>
    <row r="131" spans="1:6" x14ac:dyDescent="0.2">
      <c r="A131" s="19" t="s">
        <v>262</v>
      </c>
      <c r="B131" s="20"/>
      <c r="C131" s="20"/>
      <c r="D131" s="20"/>
      <c r="E131" s="18">
        <f>735.57</f>
        <v>735.57</v>
      </c>
      <c r="F131" s="18">
        <f t="shared" si="2"/>
        <v>735.57</v>
      </c>
    </row>
    <row r="132" spans="1:6" x14ac:dyDescent="0.2">
      <c r="A132" s="19" t="s">
        <v>264</v>
      </c>
      <c r="B132" s="20"/>
      <c r="C132" s="20"/>
      <c r="D132" s="20"/>
      <c r="E132" s="18">
        <f>51.8</f>
        <v>51.8</v>
      </c>
      <c r="F132" s="18">
        <f t="shared" si="2"/>
        <v>51.8</v>
      </c>
    </row>
    <row r="133" spans="1:6" x14ac:dyDescent="0.2">
      <c r="A133" s="19" t="s">
        <v>449</v>
      </c>
      <c r="B133" s="20"/>
      <c r="C133" s="20"/>
      <c r="D133" s="20"/>
      <c r="E133" s="18">
        <f>55</f>
        <v>55</v>
      </c>
      <c r="F133" s="18">
        <f t="shared" si="2"/>
        <v>55</v>
      </c>
    </row>
    <row r="134" spans="1:6" x14ac:dyDescent="0.2">
      <c r="A134" s="19" t="s">
        <v>446</v>
      </c>
      <c r="B134" s="20"/>
      <c r="C134" s="20"/>
      <c r="D134" s="20"/>
      <c r="E134" s="18">
        <f>350</f>
        <v>350</v>
      </c>
      <c r="F134" s="18">
        <f t="shared" si="2"/>
        <v>350</v>
      </c>
    </row>
    <row r="135" spans="1:6" x14ac:dyDescent="0.2">
      <c r="A135" s="19" t="s">
        <v>266</v>
      </c>
      <c r="B135" s="21">
        <f>(((((((B127)+(B128))+(B129))+(B130))+(B131))+(B132))+(B133))+(B134)</f>
        <v>0</v>
      </c>
      <c r="C135" s="21">
        <f>(((((((C127)+(C128))+(C129))+(C130))+(C131))+(C132))+(C133))+(C134)</f>
        <v>0</v>
      </c>
      <c r="D135" s="21">
        <f>(((((((D127)+(D128))+(D129))+(D130))+(D131))+(D132))+(D133))+(D134)</f>
        <v>0</v>
      </c>
      <c r="E135" s="21">
        <f>(((((((E127)+(E128))+(E129))+(E130))+(E131))+(E132))+(E133))+(E134)</f>
        <v>1500.95</v>
      </c>
      <c r="F135" s="21">
        <f t="shared" si="2"/>
        <v>1500.95</v>
      </c>
    </row>
    <row r="136" spans="1:6" x14ac:dyDescent="0.2">
      <c r="A136" s="19" t="s">
        <v>267</v>
      </c>
      <c r="B136" s="20"/>
      <c r="C136" s="20"/>
      <c r="D136" s="20"/>
      <c r="E136" s="20"/>
      <c r="F136" s="18">
        <f t="shared" si="2"/>
        <v>0</v>
      </c>
    </row>
    <row r="137" spans="1:6" x14ac:dyDescent="0.2">
      <c r="A137" s="19" t="s">
        <v>268</v>
      </c>
      <c r="B137" s="20"/>
      <c r="C137" s="20"/>
      <c r="D137" s="20"/>
      <c r="E137" s="18">
        <f>1298.06</f>
        <v>1298.06</v>
      </c>
      <c r="F137" s="18">
        <f t="shared" si="2"/>
        <v>1298.06</v>
      </c>
    </row>
    <row r="138" spans="1:6" x14ac:dyDescent="0.2">
      <c r="A138" s="19" t="s">
        <v>355</v>
      </c>
      <c r="B138" s="20"/>
      <c r="C138" s="20"/>
      <c r="D138" s="20"/>
      <c r="E138" s="18">
        <f>43143.03</f>
        <v>43143.03</v>
      </c>
      <c r="F138" s="18">
        <f t="shared" si="2"/>
        <v>43143.03</v>
      </c>
    </row>
    <row r="139" spans="1:6" x14ac:dyDescent="0.2">
      <c r="A139" s="19" t="s">
        <v>280</v>
      </c>
      <c r="B139" s="20"/>
      <c r="C139" s="20"/>
      <c r="D139" s="20"/>
      <c r="E139" s="20"/>
      <c r="F139" s="18">
        <f t="shared" si="2"/>
        <v>0</v>
      </c>
    </row>
    <row r="140" spans="1:6" x14ac:dyDescent="0.2">
      <c r="A140" s="19" t="s">
        <v>281</v>
      </c>
      <c r="B140" s="20"/>
      <c r="C140" s="20"/>
      <c r="D140" s="20"/>
      <c r="E140" s="18">
        <f>473.64</f>
        <v>473.64</v>
      </c>
      <c r="F140" s="18">
        <f t="shared" si="2"/>
        <v>473.64</v>
      </c>
    </row>
    <row r="141" spans="1:6" x14ac:dyDescent="0.2">
      <c r="A141" s="19" t="s">
        <v>380</v>
      </c>
      <c r="B141" s="20"/>
      <c r="C141" s="20"/>
      <c r="D141" s="20"/>
      <c r="E141" s="18">
        <f>510</f>
        <v>510</v>
      </c>
      <c r="F141" s="18">
        <f t="shared" si="2"/>
        <v>510</v>
      </c>
    </row>
    <row r="142" spans="1:6" x14ac:dyDescent="0.2">
      <c r="A142" s="19" t="s">
        <v>393</v>
      </c>
      <c r="B142" s="21">
        <f>((B139)+(B140))+(B141)</f>
        <v>0</v>
      </c>
      <c r="C142" s="21">
        <f>((C139)+(C140))+(C141)</f>
        <v>0</v>
      </c>
      <c r="D142" s="21">
        <f>((D139)+(D140))+(D141)</f>
        <v>0</v>
      </c>
      <c r="E142" s="21">
        <f>((E139)+(E140))+(E141)</f>
        <v>983.64</v>
      </c>
      <c r="F142" s="21">
        <f t="shared" si="2"/>
        <v>983.64</v>
      </c>
    </row>
    <row r="143" spans="1:6" x14ac:dyDescent="0.2">
      <c r="A143" s="19" t="s">
        <v>270</v>
      </c>
      <c r="B143" s="21">
        <f>(((B136)+(B137))+(B138))+(B142)</f>
        <v>0</v>
      </c>
      <c r="C143" s="21">
        <f>(((C136)+(C137))+(C138))+(C142)</f>
        <v>0</v>
      </c>
      <c r="D143" s="21">
        <f>(((D136)+(D137))+(D138))+(D142)</f>
        <v>0</v>
      </c>
      <c r="E143" s="21">
        <f>(((E136)+(E137))+(E138))+(E142)</f>
        <v>45424.729999999996</v>
      </c>
      <c r="F143" s="21">
        <f t="shared" si="2"/>
        <v>45424.729999999996</v>
      </c>
    </row>
    <row r="144" spans="1:6" x14ac:dyDescent="0.2">
      <c r="A144" s="19" t="s">
        <v>271</v>
      </c>
      <c r="B144" s="21">
        <f>((B126)+(B135))+(B143)</f>
        <v>0</v>
      </c>
      <c r="C144" s="21">
        <f>((C126)+(C135))+(C143)</f>
        <v>0</v>
      </c>
      <c r="D144" s="21">
        <f>((D126)+(D135))+(D143)</f>
        <v>0</v>
      </c>
      <c r="E144" s="21">
        <f>((E126)+(E135))+(E143)</f>
        <v>46925.679999999993</v>
      </c>
      <c r="F144" s="21">
        <f t="shared" si="2"/>
        <v>46925.679999999993</v>
      </c>
    </row>
    <row r="145" spans="1:6" x14ac:dyDescent="0.2">
      <c r="A145" s="19" t="s">
        <v>272</v>
      </c>
      <c r="B145" s="21">
        <f>(((B92)+(B119))+(B125))+(B144)</f>
        <v>0</v>
      </c>
      <c r="C145" s="21">
        <f>(((C92)+(C119))+(C125))+(C144)</f>
        <v>0</v>
      </c>
      <c r="D145" s="21">
        <f>(((D92)+(D119))+(D125))+(D144)</f>
        <v>15058.28</v>
      </c>
      <c r="E145" s="21">
        <f>(((E92)+(E119))+(E125))+(E144)</f>
        <v>70867.37</v>
      </c>
      <c r="F145" s="21">
        <f t="shared" si="2"/>
        <v>85925.65</v>
      </c>
    </row>
    <row r="146" spans="1:6" x14ac:dyDescent="0.2">
      <c r="A146" s="19" t="s">
        <v>273</v>
      </c>
      <c r="B146" s="21">
        <f>(B91)+(B145)</f>
        <v>30278.940000000002</v>
      </c>
      <c r="C146" s="21">
        <f>(C91)+(C145)</f>
        <v>0</v>
      </c>
      <c r="D146" s="21">
        <f>(D91)+(D145)</f>
        <v>15058.28</v>
      </c>
      <c r="E146" s="21">
        <f>(E91)+(E145)</f>
        <v>70867.37</v>
      </c>
      <c r="F146" s="21">
        <f t="shared" si="2"/>
        <v>116204.59</v>
      </c>
    </row>
    <row r="147" spans="1:6" x14ac:dyDescent="0.2">
      <c r="A147" s="19" t="s">
        <v>274</v>
      </c>
      <c r="B147" s="21">
        <f>(B40)-(B146)</f>
        <v>9176.8699999999953</v>
      </c>
      <c r="C147" s="21">
        <f>(C40)-(C146)</f>
        <v>0</v>
      </c>
      <c r="D147" s="21">
        <f>(D40)-(D146)</f>
        <v>-3262.7699999999913</v>
      </c>
      <c r="E147" s="21">
        <f>(E40)-(E146)</f>
        <v>-52481.33</v>
      </c>
      <c r="F147" s="21">
        <f t="shared" si="2"/>
        <v>-46567.229999999996</v>
      </c>
    </row>
    <row r="148" spans="1:6" x14ac:dyDescent="0.2">
      <c r="A148" s="19" t="s">
        <v>8</v>
      </c>
      <c r="B148" s="20"/>
      <c r="C148" s="20"/>
      <c r="D148" s="20"/>
      <c r="E148" s="20"/>
      <c r="F148" s="20"/>
    </row>
    <row r="149" spans="1:6" x14ac:dyDescent="0.2">
      <c r="A149" s="19" t="s">
        <v>275</v>
      </c>
      <c r="B149" s="20"/>
      <c r="C149" s="20"/>
      <c r="D149" s="20"/>
      <c r="E149" s="20"/>
      <c r="F149" s="18">
        <f>(((B149)+(C149))+(D149))+(E149)</f>
        <v>0</v>
      </c>
    </row>
    <row r="150" spans="1:6" x14ac:dyDescent="0.2">
      <c r="A150" s="19" t="s">
        <v>276</v>
      </c>
      <c r="B150" s="20"/>
      <c r="C150" s="18">
        <f>2674.51</f>
        <v>2674.51</v>
      </c>
      <c r="D150" s="20"/>
      <c r="E150" s="20"/>
      <c r="F150" s="18">
        <f>(((B150)+(C150))+(D150))+(E150)</f>
        <v>2674.51</v>
      </c>
    </row>
    <row r="151" spans="1:6" x14ac:dyDescent="0.2">
      <c r="A151" s="19" t="s">
        <v>534</v>
      </c>
      <c r="B151" s="20"/>
      <c r="C151" s="18">
        <f>323.92</f>
        <v>323.92</v>
      </c>
      <c r="D151" s="20"/>
      <c r="E151" s="20"/>
      <c r="F151" s="18">
        <f>(((B151)+(C151))+(D151))+(E151)</f>
        <v>323.92</v>
      </c>
    </row>
    <row r="152" spans="1:6" x14ac:dyDescent="0.2">
      <c r="A152" s="19" t="s">
        <v>277</v>
      </c>
      <c r="B152" s="21">
        <f>((B149)+(B150))+(B151)</f>
        <v>0</v>
      </c>
      <c r="C152" s="21">
        <f>((C149)+(C150))+(C151)</f>
        <v>2998.4300000000003</v>
      </c>
      <c r="D152" s="21">
        <f>((D149)+(D150))+(D151)</f>
        <v>0</v>
      </c>
      <c r="E152" s="21">
        <f>((E149)+(E150))+(E151)</f>
        <v>0</v>
      </c>
      <c r="F152" s="21">
        <f>(((B152)+(C152))+(D152))+(E152)</f>
        <v>2998.4300000000003</v>
      </c>
    </row>
    <row r="153" spans="1:6" x14ac:dyDescent="0.2">
      <c r="A153" s="19" t="s">
        <v>9</v>
      </c>
      <c r="B153" s="21">
        <f>B152</f>
        <v>0</v>
      </c>
      <c r="C153" s="21">
        <f>C152</f>
        <v>2998.4300000000003</v>
      </c>
      <c r="D153" s="21">
        <f>D152</f>
        <v>0</v>
      </c>
      <c r="E153" s="21">
        <f>E152</f>
        <v>0</v>
      </c>
      <c r="F153" s="21">
        <f>(((B153)+(C153))+(D153))+(E153)</f>
        <v>2998.4300000000003</v>
      </c>
    </row>
    <row r="154" spans="1:6" x14ac:dyDescent="0.2">
      <c r="A154" s="19" t="s">
        <v>598</v>
      </c>
      <c r="B154" s="20"/>
      <c r="C154" s="20"/>
      <c r="D154" s="20"/>
      <c r="E154" s="20"/>
      <c r="F154" s="20"/>
    </row>
    <row r="155" spans="1:6" x14ac:dyDescent="0.2">
      <c r="A155" s="19" t="s">
        <v>599</v>
      </c>
      <c r="B155" s="20"/>
      <c r="C155" s="20"/>
      <c r="D155" s="20"/>
      <c r="E155" s="20"/>
      <c r="F155" s="18">
        <f t="shared" ref="F155:F160" si="3">(((B155)+(C155))+(D155))+(E155)</f>
        <v>0</v>
      </c>
    </row>
    <row r="156" spans="1:6" x14ac:dyDescent="0.2">
      <c r="A156" s="19" t="s">
        <v>600</v>
      </c>
      <c r="B156" s="20"/>
      <c r="C156" s="18">
        <f>3603.57</f>
        <v>3603.57</v>
      </c>
      <c r="D156" s="20"/>
      <c r="E156" s="20"/>
      <c r="F156" s="18">
        <f t="shared" si="3"/>
        <v>3603.57</v>
      </c>
    </row>
    <row r="157" spans="1:6" x14ac:dyDescent="0.2">
      <c r="A157" s="19" t="s">
        <v>601</v>
      </c>
      <c r="B157" s="21">
        <f>(B155)+(B156)</f>
        <v>0</v>
      </c>
      <c r="C157" s="21">
        <f>(C155)+(C156)</f>
        <v>3603.57</v>
      </c>
      <c r="D157" s="21">
        <f>(D155)+(D156)</f>
        <v>0</v>
      </c>
      <c r="E157" s="21">
        <f>(E155)+(E156)</f>
        <v>0</v>
      </c>
      <c r="F157" s="21">
        <f t="shared" si="3"/>
        <v>3603.57</v>
      </c>
    </row>
    <row r="158" spans="1:6" x14ac:dyDescent="0.2">
      <c r="A158" s="19" t="s">
        <v>602</v>
      </c>
      <c r="B158" s="21">
        <f>B157</f>
        <v>0</v>
      </c>
      <c r="C158" s="21">
        <f>C157</f>
        <v>3603.57</v>
      </c>
      <c r="D158" s="21">
        <f>D157</f>
        <v>0</v>
      </c>
      <c r="E158" s="21">
        <f>E157</f>
        <v>0</v>
      </c>
      <c r="F158" s="21">
        <f t="shared" si="3"/>
        <v>3603.57</v>
      </c>
    </row>
    <row r="159" spans="1:6" x14ac:dyDescent="0.2">
      <c r="A159" s="19" t="s">
        <v>10</v>
      </c>
      <c r="B159" s="21">
        <f>(B153)-(B158)</f>
        <v>0</v>
      </c>
      <c r="C159" s="21">
        <f>(C153)-(C158)</f>
        <v>-605.13999999999987</v>
      </c>
      <c r="D159" s="21">
        <f>(D153)-(D158)</f>
        <v>0</v>
      </c>
      <c r="E159" s="21">
        <f>(E153)-(E158)</f>
        <v>0</v>
      </c>
      <c r="F159" s="21">
        <f t="shared" si="3"/>
        <v>-605.13999999999987</v>
      </c>
    </row>
    <row r="160" spans="1:6" x14ac:dyDescent="0.2">
      <c r="A160" s="19" t="s">
        <v>3</v>
      </c>
      <c r="B160" s="21">
        <f>(B147)+(B159)</f>
        <v>9176.8699999999953</v>
      </c>
      <c r="C160" s="21">
        <f>(C147)+(C159)</f>
        <v>-605.13999999999987</v>
      </c>
      <c r="D160" s="21">
        <f>(D147)+(D159)</f>
        <v>-3262.7699999999913</v>
      </c>
      <c r="E160" s="21">
        <f>(E147)+(E159)</f>
        <v>-52481.33</v>
      </c>
      <c r="F160" s="21">
        <f t="shared" si="3"/>
        <v>-47172.369999999995</v>
      </c>
    </row>
    <row r="161" spans="1:6" x14ac:dyDescent="0.2">
      <c r="A161" s="19"/>
      <c r="B161" s="20"/>
      <c r="C161" s="20"/>
      <c r="D161" s="20"/>
      <c r="E161" s="20"/>
      <c r="F161" s="20"/>
    </row>
    <row r="164" spans="1:6" x14ac:dyDescent="0.2">
      <c r="A164" s="259" t="s">
        <v>603</v>
      </c>
      <c r="B164" s="254"/>
      <c r="C164" s="254"/>
      <c r="D164" s="254"/>
      <c r="E164" s="254"/>
      <c r="F164" s="254"/>
    </row>
  </sheetData>
  <mergeCells count="4">
    <mergeCell ref="A1:F1"/>
    <mergeCell ref="A2:F2"/>
    <mergeCell ref="A3:F3"/>
    <mergeCell ref="A164:F16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O91"/>
  <sheetViews>
    <sheetView tabSelected="1" zoomScale="70" zoomScaleNormal="70" workbookViewId="0">
      <pane ySplit="5" topLeftCell="A31" activePane="bottomLeft" state="frozen"/>
      <selection activeCell="B1" sqref="B1"/>
      <selection pane="bottomLeft" activeCell="AD53" sqref="AD53"/>
    </sheetView>
  </sheetViews>
  <sheetFormatPr baseColWidth="10" defaultColWidth="16.6640625" defaultRowHeight="15" x14ac:dyDescent="0.2"/>
  <cols>
    <col min="1" max="1" width="16.6640625" customWidth="1"/>
    <col min="2" max="2" width="16.6640625" style="204"/>
    <col min="3" max="3" width="15.5" customWidth="1"/>
    <col min="4" max="4" width="16.6640625" customWidth="1"/>
    <col min="5" max="5" width="15.5" customWidth="1"/>
    <col min="6" max="6" width="14.5" customWidth="1"/>
    <col min="7" max="7" width="16.6640625" hidden="1" customWidth="1"/>
    <col min="8" max="8" width="29.33203125" hidden="1" customWidth="1"/>
    <col min="9" max="9" width="14.1640625" style="205" customWidth="1"/>
    <col min="10" max="10" width="13.6640625" style="205" customWidth="1"/>
    <col min="11" max="11" width="11" style="14" customWidth="1"/>
    <col min="12" max="12" width="3.6640625" customWidth="1"/>
    <col min="13" max="13" width="22.5" customWidth="1"/>
    <col min="14" max="14" width="14.5" customWidth="1"/>
    <col min="15" max="15" width="15.33203125" customWidth="1"/>
    <col min="16" max="16" width="3.6640625" customWidth="1"/>
    <col min="17" max="17" width="18.6640625" customWidth="1"/>
    <col min="18" max="18" width="3.6640625" customWidth="1"/>
    <col min="19" max="21" width="12.5" customWidth="1"/>
    <col min="22" max="22" width="14" customWidth="1"/>
    <col min="23" max="23" width="12.5" customWidth="1"/>
    <col min="24" max="24" width="6.1640625" customWidth="1"/>
    <col min="25" max="25" width="1" customWidth="1"/>
    <col min="26" max="26" width="15.1640625" style="114" customWidth="1"/>
    <col min="27" max="30" width="16.6640625" customWidth="1"/>
  </cols>
  <sheetData>
    <row r="1" spans="1:249" x14ac:dyDescent="0.2">
      <c r="A1" s="104"/>
      <c r="B1" s="268" t="s">
        <v>572</v>
      </c>
      <c r="C1" s="268"/>
      <c r="D1" s="105"/>
      <c r="E1" s="105"/>
      <c r="F1" s="105"/>
      <c r="G1" s="105"/>
      <c r="H1" s="105"/>
      <c r="I1" s="106"/>
      <c r="J1" s="106"/>
      <c r="K1" s="107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8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</row>
    <row r="2" spans="1:249" ht="16" thickBot="1" x14ac:dyDescent="0.25">
      <c r="A2" s="109"/>
      <c r="B2" s="110"/>
      <c r="C2" s="109"/>
      <c r="E2" s="213"/>
      <c r="F2" s="213"/>
      <c r="G2" s="213"/>
      <c r="H2" s="111"/>
      <c r="I2" s="112"/>
      <c r="J2" s="112"/>
      <c r="K2" s="113"/>
    </row>
    <row r="3" spans="1:249" ht="16" thickBot="1" x14ac:dyDescent="0.25">
      <c r="A3" s="115"/>
      <c r="B3" s="116"/>
      <c r="C3" s="214"/>
      <c r="D3" s="215"/>
      <c r="E3" s="216"/>
      <c r="F3" s="126"/>
      <c r="G3" s="126"/>
      <c r="H3" s="117"/>
      <c r="I3" s="269" t="s">
        <v>12</v>
      </c>
      <c r="J3" s="270"/>
      <c r="K3" s="271"/>
      <c r="L3" s="118"/>
      <c r="M3" s="272" t="s">
        <v>13</v>
      </c>
      <c r="N3" s="273"/>
      <c r="O3" s="274"/>
      <c r="Q3" s="95" t="s">
        <v>11</v>
      </c>
      <c r="T3" s="261" t="s">
        <v>571</v>
      </c>
      <c r="U3" s="262"/>
      <c r="V3" s="263"/>
      <c r="W3" s="119"/>
      <c r="Z3" s="120" t="s">
        <v>14</v>
      </c>
    </row>
    <row r="4" spans="1:249" x14ac:dyDescent="0.2">
      <c r="A4" s="121" t="s">
        <v>15</v>
      </c>
      <c r="B4" s="122" t="s">
        <v>16</v>
      </c>
      <c r="C4" s="121" t="s">
        <v>17</v>
      </c>
      <c r="D4" s="123"/>
      <c r="E4" s="121" t="s">
        <v>18</v>
      </c>
      <c r="F4" s="124"/>
      <c r="G4" s="125" t="s">
        <v>19</v>
      </c>
      <c r="H4" s="126"/>
      <c r="I4" s="264" t="s">
        <v>20</v>
      </c>
      <c r="J4" s="217" t="s">
        <v>18</v>
      </c>
      <c r="K4" s="127"/>
      <c r="L4" s="128"/>
      <c r="M4" s="266" t="s">
        <v>20</v>
      </c>
      <c r="N4" s="129" t="s">
        <v>18</v>
      </c>
      <c r="O4" s="130"/>
      <c r="P4" s="131"/>
      <c r="Q4" s="132">
        <v>45291</v>
      </c>
      <c r="R4" s="119"/>
      <c r="S4" s="119"/>
      <c r="T4" s="133"/>
      <c r="U4" s="133"/>
      <c r="V4" s="133"/>
      <c r="W4" s="119"/>
      <c r="Z4" s="134"/>
    </row>
    <row r="5" spans="1:249" ht="16" thickBot="1" x14ac:dyDescent="0.25">
      <c r="A5" s="135"/>
      <c r="B5" s="136"/>
      <c r="C5" s="208">
        <v>44896</v>
      </c>
      <c r="D5" s="137" t="s">
        <v>20</v>
      </c>
      <c r="E5" s="138" t="s">
        <v>21</v>
      </c>
      <c r="F5" s="139"/>
      <c r="G5" s="140" t="s">
        <v>21</v>
      </c>
      <c r="H5" s="141"/>
      <c r="I5" s="265"/>
      <c r="J5" s="218" t="s">
        <v>21</v>
      </c>
      <c r="K5" s="142"/>
      <c r="L5" s="95"/>
      <c r="M5" s="267"/>
      <c r="N5" s="143" t="s">
        <v>21</v>
      </c>
      <c r="O5" s="144"/>
      <c r="Q5" s="119" t="s">
        <v>498</v>
      </c>
      <c r="R5" s="119"/>
      <c r="S5" s="145"/>
      <c r="T5" s="145"/>
      <c r="U5" s="145"/>
      <c r="V5" s="145"/>
      <c r="W5" s="145"/>
    </row>
    <row r="6" spans="1:249" ht="16" thickBot="1" x14ac:dyDescent="0.25">
      <c r="A6" s="146">
        <v>0</v>
      </c>
      <c r="B6" s="147" t="s">
        <v>22</v>
      </c>
      <c r="C6" s="148">
        <v>13</v>
      </c>
      <c r="D6" s="15">
        <v>650</v>
      </c>
      <c r="E6" s="149">
        <v>150</v>
      </c>
      <c r="F6" s="150"/>
      <c r="G6" s="151"/>
      <c r="H6" s="152"/>
      <c r="I6" s="223"/>
      <c r="J6" s="219"/>
      <c r="K6" s="153"/>
      <c r="L6" s="154"/>
      <c r="M6" s="155">
        <f t="shared" ref="M6:M37" si="0">D6-I6</f>
        <v>650</v>
      </c>
      <c r="N6" s="155">
        <f t="shared" ref="N6:N37" si="1">E6-J6</f>
        <v>150</v>
      </c>
      <c r="O6" s="155"/>
      <c r="P6" s="14"/>
      <c r="Q6" s="14"/>
      <c r="R6" s="14"/>
      <c r="S6" s="14"/>
      <c r="T6" s="14"/>
      <c r="U6" s="14"/>
      <c r="V6" s="14"/>
      <c r="W6" s="14"/>
      <c r="X6" s="14"/>
      <c r="Y6" s="14"/>
      <c r="Z6" s="156">
        <f>M6+N6+Q6+V6</f>
        <v>800</v>
      </c>
      <c r="AC6" s="209"/>
      <c r="AD6" s="209"/>
      <c r="AE6" s="209"/>
      <c r="AF6" s="209"/>
    </row>
    <row r="7" spans="1:249" ht="16" thickBot="1" x14ac:dyDescent="0.25">
      <c r="A7" s="157">
        <v>5882</v>
      </c>
      <c r="B7" s="158" t="s">
        <v>23</v>
      </c>
      <c r="C7" s="148">
        <v>13</v>
      </c>
      <c r="D7" s="15">
        <v>650</v>
      </c>
      <c r="E7" s="159">
        <v>65</v>
      </c>
      <c r="F7" s="160"/>
      <c r="G7" s="161"/>
      <c r="H7" s="162"/>
      <c r="I7" s="223">
        <v>650</v>
      </c>
      <c r="J7" s="220"/>
      <c r="K7" s="163"/>
      <c r="L7" s="154"/>
      <c r="M7" s="155">
        <f t="shared" si="0"/>
        <v>0</v>
      </c>
      <c r="N7" s="155">
        <f t="shared" si="1"/>
        <v>65</v>
      </c>
      <c r="O7" s="155"/>
      <c r="P7" s="14"/>
      <c r="Q7" s="89">
        <v>1184.94</v>
      </c>
      <c r="R7" s="14"/>
      <c r="S7" s="14"/>
      <c r="T7" s="14">
        <v>-600</v>
      </c>
      <c r="U7" s="14"/>
      <c r="V7" s="14"/>
      <c r="W7" s="14"/>
      <c r="X7" s="14"/>
      <c r="Y7" s="14"/>
      <c r="Z7" s="156">
        <f>M7+N7+Q7+T7+U7+V7</f>
        <v>649.94000000000005</v>
      </c>
      <c r="AC7" s="209"/>
      <c r="AD7" s="209"/>
      <c r="AE7" s="209"/>
      <c r="AF7" s="209"/>
    </row>
    <row r="8" spans="1:249" ht="16" thickBot="1" x14ac:dyDescent="0.25">
      <c r="A8" s="157"/>
      <c r="B8" s="158" t="s">
        <v>492</v>
      </c>
      <c r="C8" s="148">
        <v>42</v>
      </c>
      <c r="D8" s="15">
        <v>2100</v>
      </c>
      <c r="E8" s="159">
        <v>210</v>
      </c>
      <c r="F8" s="160"/>
      <c r="G8" s="161"/>
      <c r="H8" s="162"/>
      <c r="I8" s="223"/>
      <c r="J8" s="220"/>
      <c r="K8" s="163"/>
      <c r="L8" s="154"/>
      <c r="M8" s="155">
        <f t="shared" si="0"/>
        <v>2100</v>
      </c>
      <c r="N8" s="155">
        <f t="shared" si="1"/>
        <v>210</v>
      </c>
      <c r="O8" s="155"/>
      <c r="P8" s="14"/>
      <c r="Q8" s="14">
        <v>2950</v>
      </c>
      <c r="R8" s="14"/>
      <c r="S8" s="14"/>
      <c r="T8" s="14"/>
      <c r="U8" s="14"/>
      <c r="V8" s="14"/>
      <c r="W8" s="14"/>
      <c r="X8" s="14"/>
      <c r="Y8" s="14"/>
      <c r="Z8" s="156">
        <f t="shared" ref="Z8:Z59" si="2">M8+N8+Q8+T8+U8+V8</f>
        <v>5260</v>
      </c>
      <c r="AC8" s="95"/>
      <c r="AD8" s="210"/>
      <c r="AE8" s="211"/>
      <c r="AF8" s="212"/>
    </row>
    <row r="9" spans="1:249" ht="16" thickBot="1" x14ac:dyDescent="0.25">
      <c r="A9" s="157">
        <v>5884</v>
      </c>
      <c r="B9" s="158" t="s">
        <v>24</v>
      </c>
      <c r="C9" s="148">
        <v>0</v>
      </c>
      <c r="D9" s="15"/>
      <c r="E9" s="159"/>
      <c r="F9" s="160"/>
      <c r="G9" s="161"/>
      <c r="H9" s="162"/>
      <c r="I9" s="224"/>
      <c r="J9" s="221"/>
      <c r="K9" s="163"/>
      <c r="L9" s="154"/>
      <c r="M9" s="155">
        <f t="shared" si="0"/>
        <v>0</v>
      </c>
      <c r="N9" s="155">
        <f t="shared" si="1"/>
        <v>0</v>
      </c>
      <c r="O9" s="155"/>
      <c r="P9" s="14"/>
      <c r="Q9" s="14">
        <v>350</v>
      </c>
      <c r="R9" s="14"/>
      <c r="S9" s="14"/>
      <c r="T9" s="14"/>
      <c r="U9" s="14"/>
      <c r="V9" s="14"/>
      <c r="W9" s="14"/>
      <c r="X9" s="14"/>
      <c r="Y9" s="14"/>
      <c r="Z9" s="156">
        <f t="shared" si="2"/>
        <v>350</v>
      </c>
      <c r="AC9" s="95"/>
      <c r="AD9" s="210"/>
      <c r="AE9" s="211"/>
      <c r="AF9" s="212"/>
    </row>
    <row r="10" spans="1:249" ht="16" thickBot="1" x14ac:dyDescent="0.25">
      <c r="A10" s="157">
        <v>5886</v>
      </c>
      <c r="B10" s="158" t="s">
        <v>25</v>
      </c>
      <c r="C10" s="148">
        <v>111</v>
      </c>
      <c r="D10" s="16">
        <v>5550</v>
      </c>
      <c r="E10" s="159">
        <v>5200</v>
      </c>
      <c r="F10" s="160"/>
      <c r="G10" s="161"/>
      <c r="H10" s="162"/>
      <c r="I10" s="224"/>
      <c r="J10" s="221"/>
      <c r="K10" s="156"/>
      <c r="L10" s="154"/>
      <c r="M10" s="155">
        <f t="shared" si="0"/>
        <v>5550</v>
      </c>
      <c r="N10" s="155">
        <f t="shared" si="1"/>
        <v>5200</v>
      </c>
      <c r="O10" s="155"/>
      <c r="P10" s="14"/>
      <c r="Q10" s="14">
        <v>-1457</v>
      </c>
      <c r="R10" s="14"/>
      <c r="S10" s="14"/>
      <c r="T10" s="14"/>
      <c r="U10" s="14"/>
      <c r="V10" s="14"/>
      <c r="X10" s="14"/>
      <c r="Y10" s="14"/>
      <c r="Z10" s="156">
        <f t="shared" si="2"/>
        <v>9293</v>
      </c>
      <c r="AC10" s="95"/>
      <c r="AD10" s="210"/>
      <c r="AE10" s="211"/>
      <c r="AF10" s="212"/>
    </row>
    <row r="11" spans="1:249" s="114" customFormat="1" ht="16" thickBot="1" x14ac:dyDescent="0.25">
      <c r="A11" s="164">
        <v>5493</v>
      </c>
      <c r="B11" s="165" t="s">
        <v>26</v>
      </c>
      <c r="C11" s="166">
        <v>40</v>
      </c>
      <c r="D11" s="17">
        <v>2000</v>
      </c>
      <c r="E11" s="167">
        <v>200</v>
      </c>
      <c r="F11" s="168"/>
      <c r="G11" s="169"/>
      <c r="H11" s="170"/>
      <c r="I11" s="224"/>
      <c r="J11" s="221"/>
      <c r="K11" s="156"/>
      <c r="L11" s="171"/>
      <c r="M11" s="172">
        <f t="shared" si="0"/>
        <v>2000</v>
      </c>
      <c r="N11" s="172">
        <f t="shared" si="1"/>
        <v>200</v>
      </c>
      <c r="O11" s="172"/>
      <c r="P11" s="89"/>
      <c r="Q11" s="89">
        <v>4550</v>
      </c>
      <c r="R11" s="89"/>
      <c r="S11" s="89"/>
      <c r="T11" s="89"/>
      <c r="U11" s="89"/>
      <c r="V11" s="89"/>
      <c r="W11" s="14"/>
      <c r="X11" s="89"/>
      <c r="Y11" s="89"/>
      <c r="Z11" s="156">
        <f t="shared" si="2"/>
        <v>6750</v>
      </c>
      <c r="AB11"/>
      <c r="AC11" s="95"/>
      <c r="AD11" s="210"/>
      <c r="AE11" s="211"/>
      <c r="AF11" s="212"/>
    </row>
    <row r="12" spans="1:249" s="114" customFormat="1" ht="14.5" customHeight="1" thickBot="1" x14ac:dyDescent="0.25">
      <c r="A12" s="164">
        <v>5888</v>
      </c>
      <c r="B12" s="165" t="s">
        <v>27</v>
      </c>
      <c r="C12" s="166">
        <v>89</v>
      </c>
      <c r="D12" s="17">
        <v>4450</v>
      </c>
      <c r="E12" s="167">
        <v>655</v>
      </c>
      <c r="F12" s="168"/>
      <c r="G12" s="169"/>
      <c r="H12" s="170"/>
      <c r="I12" s="224"/>
      <c r="J12" s="221"/>
      <c r="K12" s="156"/>
      <c r="L12" s="171"/>
      <c r="M12" s="155">
        <f t="shared" si="0"/>
        <v>4450</v>
      </c>
      <c r="N12" s="155">
        <f t="shared" si="1"/>
        <v>655</v>
      </c>
      <c r="O12" s="155"/>
      <c r="P12" s="89"/>
      <c r="Q12" s="89">
        <v>5</v>
      </c>
      <c r="R12" s="89"/>
      <c r="S12" s="89"/>
      <c r="T12" s="89"/>
      <c r="U12" s="89"/>
      <c r="V12" s="89"/>
      <c r="W12" s="89"/>
      <c r="X12" s="89"/>
      <c r="Y12" s="89"/>
      <c r="Z12" s="156">
        <f t="shared" si="2"/>
        <v>5110</v>
      </c>
      <c r="AB12"/>
      <c r="AC12" s="95"/>
      <c r="AD12" s="210"/>
      <c r="AE12" s="211"/>
      <c r="AF12" s="212"/>
    </row>
    <row r="13" spans="1:249" ht="16" thickBot="1" x14ac:dyDescent="0.25">
      <c r="A13" s="157">
        <v>5889</v>
      </c>
      <c r="B13" s="158" t="s">
        <v>28</v>
      </c>
      <c r="C13" s="148">
        <v>22</v>
      </c>
      <c r="D13" s="173">
        <v>1100</v>
      </c>
      <c r="E13" s="159">
        <v>220</v>
      </c>
      <c r="F13" s="160"/>
      <c r="G13" s="161"/>
      <c r="H13" s="162"/>
      <c r="I13" s="223"/>
      <c r="J13" s="220"/>
      <c r="K13" s="163"/>
      <c r="L13" s="154"/>
      <c r="M13" s="155">
        <f t="shared" si="0"/>
        <v>1100</v>
      </c>
      <c r="N13" s="155">
        <f t="shared" si="1"/>
        <v>220</v>
      </c>
      <c r="O13" s="155"/>
      <c r="P13" s="14"/>
      <c r="Q13" s="14">
        <v>1550</v>
      </c>
      <c r="R13" s="14"/>
      <c r="S13" s="14"/>
      <c r="T13" s="14"/>
      <c r="U13" s="14"/>
      <c r="V13" s="14"/>
      <c r="W13" s="14"/>
      <c r="X13" s="14"/>
      <c r="Y13" s="14"/>
      <c r="Z13" s="156">
        <f t="shared" si="2"/>
        <v>2870</v>
      </c>
      <c r="AC13" s="95"/>
      <c r="AD13" s="210"/>
      <c r="AE13" s="211"/>
      <c r="AF13" s="212"/>
    </row>
    <row r="14" spans="1:249" s="114" customFormat="1" ht="16" thickBot="1" x14ac:dyDescent="0.25">
      <c r="A14" s="164">
        <v>5494</v>
      </c>
      <c r="B14" s="165" t="s">
        <v>29</v>
      </c>
      <c r="C14" s="166">
        <v>136</v>
      </c>
      <c r="D14" s="17">
        <v>6800</v>
      </c>
      <c r="E14" s="167">
        <v>27755</v>
      </c>
      <c r="F14" s="168"/>
      <c r="G14" s="169"/>
      <c r="H14" s="170"/>
      <c r="I14" s="224">
        <v>1236</v>
      </c>
      <c r="J14" s="221">
        <v>5046</v>
      </c>
      <c r="K14" s="156"/>
      <c r="L14" s="171"/>
      <c r="M14" s="172">
        <f t="shared" si="0"/>
        <v>5564</v>
      </c>
      <c r="N14" s="172">
        <f t="shared" si="1"/>
        <v>22709</v>
      </c>
      <c r="O14" s="172"/>
      <c r="P14" s="89"/>
      <c r="Q14" s="89">
        <v>2250</v>
      </c>
      <c r="R14" s="89"/>
      <c r="S14" s="89"/>
      <c r="T14" s="89">
        <v>-2250</v>
      </c>
      <c r="U14" s="89"/>
      <c r="V14" s="89"/>
      <c r="W14" s="89"/>
      <c r="X14" s="89"/>
      <c r="Y14" s="89"/>
      <c r="Z14" s="156">
        <f t="shared" si="2"/>
        <v>28273</v>
      </c>
      <c r="AB14"/>
      <c r="AC14" s="95"/>
      <c r="AD14" s="210"/>
      <c r="AE14" s="211"/>
      <c r="AF14" s="212"/>
    </row>
    <row r="15" spans="1:249" s="114" customFormat="1" ht="16" thickBot="1" x14ac:dyDescent="0.25">
      <c r="A15" s="164">
        <v>5893</v>
      </c>
      <c r="B15" s="165" t="s">
        <v>30</v>
      </c>
      <c r="C15" s="166">
        <v>17</v>
      </c>
      <c r="D15" s="17">
        <v>850</v>
      </c>
      <c r="E15" s="167">
        <v>205</v>
      </c>
      <c r="F15" s="168"/>
      <c r="G15" s="169"/>
      <c r="H15" s="170"/>
      <c r="I15" s="224"/>
      <c r="J15" s="221"/>
      <c r="K15" s="156"/>
      <c r="L15" s="171"/>
      <c r="M15" s="172">
        <f t="shared" si="0"/>
        <v>850</v>
      </c>
      <c r="N15" s="172">
        <f t="shared" si="1"/>
        <v>205</v>
      </c>
      <c r="O15" s="172"/>
      <c r="P15" s="89"/>
      <c r="Q15" s="89">
        <v>25</v>
      </c>
      <c r="R15" s="89"/>
      <c r="S15" s="89"/>
      <c r="T15" s="89"/>
      <c r="U15" s="89"/>
      <c r="V15" s="89"/>
      <c r="W15" s="89"/>
      <c r="X15" s="89"/>
      <c r="Y15" s="89"/>
      <c r="Z15" s="156">
        <f t="shared" si="2"/>
        <v>1080</v>
      </c>
      <c r="AB15"/>
      <c r="AC15" s="95"/>
      <c r="AD15" s="210"/>
      <c r="AE15" s="211"/>
      <c r="AF15" s="212"/>
    </row>
    <row r="16" spans="1:249" ht="16" thickBot="1" x14ac:dyDescent="0.25">
      <c r="A16" s="157">
        <v>5894</v>
      </c>
      <c r="B16" s="158" t="s">
        <v>31</v>
      </c>
      <c r="C16" s="148">
        <v>30</v>
      </c>
      <c r="D16" s="15">
        <v>1500</v>
      </c>
      <c r="E16" s="159">
        <v>605</v>
      </c>
      <c r="F16" s="160"/>
      <c r="G16" s="161"/>
      <c r="H16" s="162"/>
      <c r="I16" s="223"/>
      <c r="J16" s="220"/>
      <c r="K16" s="163"/>
      <c r="L16" s="154"/>
      <c r="M16" s="155">
        <f t="shared" si="0"/>
        <v>1500</v>
      </c>
      <c r="N16" s="155">
        <f t="shared" si="1"/>
        <v>605</v>
      </c>
      <c r="O16" s="15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56">
        <f t="shared" si="2"/>
        <v>2105</v>
      </c>
      <c r="AC16" s="95"/>
      <c r="AD16" s="210"/>
      <c r="AE16" s="211"/>
      <c r="AF16" s="212"/>
    </row>
    <row r="17" spans="1:32" ht="16" thickBot="1" x14ac:dyDescent="0.25">
      <c r="A17" s="157">
        <v>4125</v>
      </c>
      <c r="B17" s="158" t="s">
        <v>32</v>
      </c>
      <c r="C17" s="148">
        <v>89</v>
      </c>
      <c r="D17" s="16">
        <v>4450</v>
      </c>
      <c r="E17" s="159">
        <v>800</v>
      </c>
      <c r="F17" s="160"/>
      <c r="G17" s="161"/>
      <c r="H17" s="162"/>
      <c r="I17" s="223"/>
      <c r="J17" s="220"/>
      <c r="K17" s="163"/>
      <c r="L17" s="154"/>
      <c r="M17" s="155">
        <f t="shared" si="0"/>
        <v>4450</v>
      </c>
      <c r="N17" s="155">
        <f t="shared" si="1"/>
        <v>800</v>
      </c>
      <c r="O17" s="15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56">
        <f t="shared" si="2"/>
        <v>5250</v>
      </c>
      <c r="AC17" s="95"/>
      <c r="AD17" s="210"/>
      <c r="AE17" s="211"/>
      <c r="AF17" s="212"/>
    </row>
    <row r="18" spans="1:32" ht="16" thickBot="1" x14ac:dyDescent="0.25">
      <c r="A18" s="157">
        <v>5497</v>
      </c>
      <c r="B18" s="158" t="s">
        <v>577</v>
      </c>
      <c r="C18" s="148">
        <v>12</v>
      </c>
      <c r="D18" s="16">
        <v>600</v>
      </c>
      <c r="E18" s="159">
        <v>60</v>
      </c>
      <c r="F18" s="160"/>
      <c r="G18" s="161"/>
      <c r="H18" s="162"/>
      <c r="I18" s="223"/>
      <c r="J18" s="220"/>
      <c r="K18" s="163"/>
      <c r="L18" s="154"/>
      <c r="M18" s="155">
        <f t="shared" si="0"/>
        <v>600</v>
      </c>
      <c r="N18" s="155">
        <f t="shared" si="1"/>
        <v>60</v>
      </c>
      <c r="O18" s="155"/>
      <c r="P18" s="14"/>
      <c r="Q18" s="14">
        <v>-10</v>
      </c>
      <c r="R18" s="14"/>
      <c r="S18" s="14"/>
      <c r="T18" s="14"/>
      <c r="U18" s="14"/>
      <c r="V18" s="14"/>
      <c r="W18" s="14"/>
      <c r="X18" s="14"/>
      <c r="Y18" s="14"/>
      <c r="Z18" s="156">
        <f t="shared" si="2"/>
        <v>650</v>
      </c>
      <c r="AA18" s="114"/>
      <c r="AC18" s="95"/>
      <c r="AD18" s="210"/>
      <c r="AE18" s="211"/>
      <c r="AF18" s="212"/>
    </row>
    <row r="19" spans="1:32" s="114" customFormat="1" ht="15.5" customHeight="1" thickBot="1" x14ac:dyDescent="0.25">
      <c r="A19" s="164">
        <v>5899</v>
      </c>
      <c r="B19" s="165" t="s">
        <v>33</v>
      </c>
      <c r="C19" s="166">
        <v>155</v>
      </c>
      <c r="D19" s="16">
        <v>7750</v>
      </c>
      <c r="E19" s="167">
        <v>6565</v>
      </c>
      <c r="F19" s="168"/>
      <c r="G19" s="169"/>
      <c r="H19" s="170"/>
      <c r="I19" s="224"/>
      <c r="J19" s="221"/>
      <c r="K19" s="156"/>
      <c r="L19" s="171"/>
      <c r="M19" s="172">
        <f t="shared" si="0"/>
        <v>7750</v>
      </c>
      <c r="N19" s="172">
        <f t="shared" si="1"/>
        <v>6565</v>
      </c>
      <c r="O19" s="172"/>
      <c r="P19" s="89"/>
      <c r="Q19" s="89">
        <v>-54</v>
      </c>
      <c r="R19" s="89"/>
      <c r="S19" s="89"/>
      <c r="U19" s="89"/>
      <c r="V19" s="89"/>
      <c r="W19" s="89"/>
      <c r="X19" s="89"/>
      <c r="Y19" s="89"/>
      <c r="Z19" s="156">
        <f t="shared" si="2"/>
        <v>14261</v>
      </c>
      <c r="AB19"/>
      <c r="AC19" s="95"/>
      <c r="AD19" s="210"/>
      <c r="AE19" s="211"/>
      <c r="AF19" s="212"/>
    </row>
    <row r="20" spans="1:32" s="114" customFormat="1" ht="16" thickBot="1" x14ac:dyDescent="0.25">
      <c r="A20" s="164">
        <v>5902</v>
      </c>
      <c r="B20" s="165" t="s">
        <v>34</v>
      </c>
      <c r="C20" s="166">
        <v>117</v>
      </c>
      <c r="D20" s="17">
        <v>5850</v>
      </c>
      <c r="E20" s="167">
        <v>3105</v>
      </c>
      <c r="F20" s="168"/>
      <c r="G20" s="169"/>
      <c r="H20" s="170"/>
      <c r="I20" s="224"/>
      <c r="J20" s="221">
        <v>780</v>
      </c>
      <c r="K20" s="156"/>
      <c r="L20" s="171"/>
      <c r="M20" s="172">
        <f t="shared" si="0"/>
        <v>5850</v>
      </c>
      <c r="N20" s="172">
        <f t="shared" si="1"/>
        <v>2325</v>
      </c>
      <c r="O20" s="172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156">
        <f t="shared" si="2"/>
        <v>8175</v>
      </c>
      <c r="AB20"/>
      <c r="AC20" s="95"/>
      <c r="AD20" s="210"/>
      <c r="AE20" s="211"/>
      <c r="AF20" s="212"/>
    </row>
    <row r="21" spans="1:32" s="114" customFormat="1" ht="16" thickBot="1" x14ac:dyDescent="0.25">
      <c r="A21" s="164">
        <v>11105</v>
      </c>
      <c r="B21" s="165" t="s">
        <v>35</v>
      </c>
      <c r="C21" s="166">
        <v>335</v>
      </c>
      <c r="D21" s="16">
        <v>16750</v>
      </c>
      <c r="E21" s="167">
        <v>26980</v>
      </c>
      <c r="F21" s="168"/>
      <c r="G21" s="169"/>
      <c r="H21" s="170"/>
      <c r="I21" s="224"/>
      <c r="J21" s="221"/>
      <c r="K21" s="156"/>
      <c r="L21" s="171"/>
      <c r="M21" s="172">
        <f t="shared" si="0"/>
        <v>16750</v>
      </c>
      <c r="N21" s="172">
        <f t="shared" si="1"/>
        <v>26980</v>
      </c>
      <c r="O21" s="172"/>
      <c r="P21" s="89"/>
      <c r="Q21" s="89">
        <v>-3504.39</v>
      </c>
      <c r="R21" s="89"/>
      <c r="S21" s="89"/>
      <c r="T21" s="89"/>
      <c r="U21" s="89"/>
      <c r="V21" s="89"/>
      <c r="W21" s="89"/>
      <c r="X21" s="89"/>
      <c r="Y21" s="89"/>
      <c r="Z21" s="156">
        <f t="shared" si="2"/>
        <v>40225.61</v>
      </c>
      <c r="AB21"/>
      <c r="AC21" s="95"/>
      <c r="AD21" s="210"/>
      <c r="AE21" s="211"/>
      <c r="AF21" s="212"/>
    </row>
    <row r="22" spans="1:32" ht="16" thickBot="1" x14ac:dyDescent="0.25">
      <c r="A22" s="157"/>
      <c r="B22" s="158" t="s">
        <v>36</v>
      </c>
      <c r="C22" s="148">
        <v>0</v>
      </c>
      <c r="D22" s="16"/>
      <c r="E22" s="159"/>
      <c r="F22" s="160"/>
      <c r="G22" s="161"/>
      <c r="H22" s="162"/>
      <c r="I22" s="223"/>
      <c r="J22" s="220"/>
      <c r="K22" s="163"/>
      <c r="L22" s="154"/>
      <c r="M22" s="155">
        <f t="shared" si="0"/>
        <v>0</v>
      </c>
      <c r="N22" s="155">
        <f t="shared" si="1"/>
        <v>0</v>
      </c>
      <c r="O22" s="155"/>
      <c r="P22" s="14"/>
      <c r="Q22" s="14">
        <v>900</v>
      </c>
      <c r="R22" s="14"/>
      <c r="S22" s="14"/>
      <c r="T22" s="14"/>
      <c r="U22" s="14"/>
      <c r="V22" s="14"/>
      <c r="W22" s="14"/>
      <c r="X22" s="14"/>
      <c r="Y22" s="14"/>
      <c r="Z22" s="156">
        <f t="shared" si="2"/>
        <v>900</v>
      </c>
      <c r="AC22" s="95"/>
      <c r="AD22" s="210"/>
      <c r="AE22" s="211"/>
      <c r="AF22" s="212"/>
    </row>
    <row r="23" spans="1:32" s="114" customFormat="1" ht="16" thickBot="1" x14ac:dyDescent="0.25">
      <c r="A23" s="164">
        <v>5905</v>
      </c>
      <c r="B23" s="165" t="s">
        <v>37</v>
      </c>
      <c r="C23" s="166">
        <v>97</v>
      </c>
      <c r="D23" s="16">
        <v>4850</v>
      </c>
      <c r="E23" s="167">
        <v>970</v>
      </c>
      <c r="F23" s="168"/>
      <c r="G23" s="169"/>
      <c r="H23" s="170"/>
      <c r="I23" s="224"/>
      <c r="J23" s="221"/>
      <c r="K23" s="156"/>
      <c r="L23" s="171"/>
      <c r="M23" s="172">
        <f t="shared" si="0"/>
        <v>4850</v>
      </c>
      <c r="N23" s="172">
        <f t="shared" si="1"/>
        <v>970</v>
      </c>
      <c r="O23" s="172"/>
      <c r="Q23" s="89">
        <v>8850</v>
      </c>
      <c r="R23" s="89"/>
      <c r="S23" s="89"/>
      <c r="T23" s="89"/>
      <c r="U23" s="89"/>
      <c r="V23" s="89"/>
      <c r="W23" s="89"/>
      <c r="X23" s="89"/>
      <c r="Y23" s="89"/>
      <c r="Z23" s="156">
        <f t="shared" si="2"/>
        <v>14670</v>
      </c>
      <c r="AB23"/>
      <c r="AC23" s="95"/>
      <c r="AD23" s="210"/>
      <c r="AE23" s="211"/>
      <c r="AF23" s="212"/>
    </row>
    <row r="24" spans="1:32" s="114" customFormat="1" ht="16" thickBot="1" x14ac:dyDescent="0.25">
      <c r="A24" s="164">
        <v>9335</v>
      </c>
      <c r="B24" s="165" t="s">
        <v>38</v>
      </c>
      <c r="C24" s="166">
        <v>92</v>
      </c>
      <c r="D24" s="16">
        <v>4600</v>
      </c>
      <c r="E24" s="167">
        <v>4645</v>
      </c>
      <c r="F24" s="168"/>
      <c r="G24" s="169"/>
      <c r="H24" s="170"/>
      <c r="I24" s="224">
        <v>766.66</v>
      </c>
      <c r="J24" s="221">
        <v>833.34</v>
      </c>
      <c r="K24" s="156"/>
      <c r="L24" s="171"/>
      <c r="M24" s="172">
        <f t="shared" si="0"/>
        <v>3833.34</v>
      </c>
      <c r="N24" s="172">
        <f t="shared" si="1"/>
        <v>3811.66</v>
      </c>
      <c r="O24" s="172"/>
      <c r="P24" s="89"/>
      <c r="Q24" s="89">
        <v>-2668.88</v>
      </c>
      <c r="R24" s="89"/>
      <c r="S24" s="89"/>
      <c r="T24" s="89"/>
      <c r="U24" s="89"/>
      <c r="V24" s="89"/>
      <c r="W24" s="89"/>
      <c r="X24" s="89"/>
      <c r="Z24" s="156">
        <f t="shared" si="2"/>
        <v>4976.12</v>
      </c>
      <c r="AB24"/>
      <c r="AC24" s="95"/>
      <c r="AD24" s="210"/>
      <c r="AE24" s="211"/>
      <c r="AF24" s="212"/>
    </row>
    <row r="25" spans="1:32" s="114" customFormat="1" ht="16" thickBot="1" x14ac:dyDescent="0.25">
      <c r="A25" s="164">
        <v>5908</v>
      </c>
      <c r="B25" s="165" t="s">
        <v>39</v>
      </c>
      <c r="C25" s="166">
        <v>93</v>
      </c>
      <c r="D25" s="16">
        <v>4650</v>
      </c>
      <c r="E25" s="167">
        <v>2680</v>
      </c>
      <c r="F25" s="168"/>
      <c r="G25" s="169"/>
      <c r="H25" s="170"/>
      <c r="I25" s="224">
        <v>774.93</v>
      </c>
      <c r="J25" s="221">
        <v>446.68</v>
      </c>
      <c r="K25" s="156"/>
      <c r="L25" s="171"/>
      <c r="M25" s="172">
        <f t="shared" si="0"/>
        <v>3875.07</v>
      </c>
      <c r="N25" s="172">
        <f t="shared" si="1"/>
        <v>2233.3200000000002</v>
      </c>
      <c r="O25" s="172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156">
        <f t="shared" si="2"/>
        <v>6108.39</v>
      </c>
      <c r="AB25"/>
      <c r="AC25" s="95"/>
      <c r="AD25" s="210"/>
      <c r="AE25" s="211"/>
      <c r="AF25" s="212"/>
    </row>
    <row r="26" spans="1:32" ht="16" thickBot="1" x14ac:dyDescent="0.25">
      <c r="A26" s="157">
        <v>5909</v>
      </c>
      <c r="B26" s="158" t="s">
        <v>40</v>
      </c>
      <c r="C26" s="148">
        <v>10</v>
      </c>
      <c r="D26" s="16">
        <v>500</v>
      </c>
      <c r="E26" s="159">
        <v>262.5</v>
      </c>
      <c r="F26" s="160"/>
      <c r="G26" s="161"/>
      <c r="H26" s="162"/>
      <c r="I26" s="223">
        <v>425</v>
      </c>
      <c r="J26" s="220">
        <v>200</v>
      </c>
      <c r="K26" s="163"/>
      <c r="L26" s="154"/>
      <c r="M26" s="155">
        <f t="shared" si="0"/>
        <v>75</v>
      </c>
      <c r="N26" s="155">
        <f t="shared" si="1"/>
        <v>62.5</v>
      </c>
      <c r="O26" s="155"/>
      <c r="P26" s="14"/>
      <c r="Q26" s="14">
        <v>127.5</v>
      </c>
      <c r="R26" s="14"/>
      <c r="S26" s="14"/>
      <c r="T26" s="14"/>
      <c r="U26" s="14"/>
      <c r="V26" s="14"/>
      <c r="W26" s="14"/>
      <c r="X26" s="14"/>
      <c r="Y26" s="14"/>
      <c r="Z26" s="156">
        <f t="shared" si="2"/>
        <v>265</v>
      </c>
      <c r="AC26" s="95"/>
      <c r="AD26" s="210"/>
      <c r="AE26" s="211"/>
      <c r="AF26" s="212"/>
    </row>
    <row r="27" spans="1:32" s="114" customFormat="1" ht="16" thickBot="1" x14ac:dyDescent="0.25">
      <c r="A27" s="164">
        <v>5508</v>
      </c>
      <c r="B27" s="165" t="s">
        <v>41</v>
      </c>
      <c r="C27" s="166">
        <v>43</v>
      </c>
      <c r="D27" s="16">
        <v>2150</v>
      </c>
      <c r="E27" s="167">
        <v>505</v>
      </c>
      <c r="F27" s="168"/>
      <c r="G27" s="169"/>
      <c r="H27" s="170"/>
      <c r="I27" s="224">
        <v>2150</v>
      </c>
      <c r="J27" s="221">
        <v>500</v>
      </c>
      <c r="K27" s="156"/>
      <c r="L27" s="171"/>
      <c r="M27" s="172">
        <f t="shared" si="0"/>
        <v>0</v>
      </c>
      <c r="N27" s="172">
        <f t="shared" si="1"/>
        <v>5</v>
      </c>
      <c r="O27" s="172"/>
      <c r="P27" s="89"/>
      <c r="Q27" s="89">
        <v>-763.73</v>
      </c>
      <c r="R27" s="89"/>
      <c r="S27" s="89"/>
      <c r="T27" s="89"/>
      <c r="U27" s="89"/>
      <c r="V27" s="89"/>
      <c r="W27" s="89"/>
      <c r="X27" s="89"/>
      <c r="Y27" s="89"/>
      <c r="Z27" s="156">
        <f t="shared" si="2"/>
        <v>-758.73</v>
      </c>
      <c r="AB27"/>
      <c r="AC27" s="95"/>
      <c r="AD27" s="210"/>
      <c r="AE27" s="211"/>
      <c r="AF27" s="212"/>
    </row>
    <row r="28" spans="1:32" s="114" customFormat="1" ht="16" thickBot="1" x14ac:dyDescent="0.25">
      <c r="A28" s="164">
        <v>5411</v>
      </c>
      <c r="B28" s="165" t="s">
        <v>42</v>
      </c>
      <c r="C28" s="166">
        <v>230</v>
      </c>
      <c r="D28" s="16">
        <v>11500</v>
      </c>
      <c r="E28" s="167">
        <v>11135</v>
      </c>
      <c r="F28" s="168"/>
      <c r="G28" s="169"/>
      <c r="H28" s="170"/>
      <c r="I28" s="224"/>
      <c r="J28" s="221"/>
      <c r="K28" s="156"/>
      <c r="L28" s="171"/>
      <c r="M28" s="172">
        <f t="shared" si="0"/>
        <v>11500</v>
      </c>
      <c r="N28" s="172">
        <f t="shared" si="1"/>
        <v>11135</v>
      </c>
      <c r="O28" s="172"/>
      <c r="P28" s="89"/>
      <c r="Q28" s="89">
        <v>-1632.43</v>
      </c>
      <c r="R28" s="89"/>
      <c r="S28" s="89"/>
      <c r="T28" s="89"/>
      <c r="U28" s="89"/>
      <c r="V28" s="89"/>
      <c r="W28" s="89"/>
      <c r="X28" s="89"/>
      <c r="Y28" s="89"/>
      <c r="Z28" s="156">
        <f t="shared" si="2"/>
        <v>21002.57</v>
      </c>
      <c r="AB28"/>
      <c r="AC28" s="95"/>
      <c r="AD28" s="210"/>
      <c r="AE28" s="211"/>
      <c r="AF28" s="212"/>
    </row>
    <row r="29" spans="1:32" ht="16" thickBot="1" x14ac:dyDescent="0.25">
      <c r="A29" s="157">
        <v>5910</v>
      </c>
      <c r="B29" s="158" t="s">
        <v>43</v>
      </c>
      <c r="C29" s="148">
        <v>17</v>
      </c>
      <c r="D29" s="16">
        <v>850</v>
      </c>
      <c r="E29" s="159">
        <v>85</v>
      </c>
      <c r="F29" s="160"/>
      <c r="G29" s="161"/>
      <c r="H29" s="162"/>
      <c r="I29" s="223"/>
      <c r="J29" s="220"/>
      <c r="K29" s="163"/>
      <c r="L29" s="154"/>
      <c r="M29" s="155">
        <f t="shared" si="0"/>
        <v>850</v>
      </c>
      <c r="N29" s="155">
        <f t="shared" si="1"/>
        <v>85</v>
      </c>
      <c r="O29" s="155"/>
      <c r="P29" s="14"/>
      <c r="Q29" s="14">
        <v>1025</v>
      </c>
      <c r="R29" s="14"/>
      <c r="S29" s="14"/>
      <c r="T29" s="14"/>
      <c r="U29" s="14"/>
      <c r="V29" s="14"/>
      <c r="W29" s="14"/>
      <c r="X29" s="14"/>
      <c r="Y29" s="14"/>
      <c r="Z29" s="156">
        <f t="shared" si="2"/>
        <v>1960</v>
      </c>
      <c r="AC29" s="95"/>
      <c r="AD29" s="210"/>
      <c r="AE29" s="211"/>
      <c r="AF29" s="212"/>
    </row>
    <row r="30" spans="1:32" ht="16" thickBot="1" x14ac:dyDescent="0.25">
      <c r="A30" s="157">
        <v>5496</v>
      </c>
      <c r="B30" s="158" t="s">
        <v>44</v>
      </c>
      <c r="C30" s="148">
        <v>34</v>
      </c>
      <c r="D30" s="16">
        <v>1700</v>
      </c>
      <c r="E30" s="159"/>
      <c r="F30" s="160"/>
      <c r="G30" s="161"/>
      <c r="H30" s="162"/>
      <c r="I30" s="223"/>
      <c r="J30" s="220"/>
      <c r="K30" s="163"/>
      <c r="L30" s="154"/>
      <c r="M30" s="155">
        <f t="shared" si="0"/>
        <v>1700</v>
      </c>
      <c r="N30" s="155">
        <f t="shared" si="1"/>
        <v>0</v>
      </c>
      <c r="O30" s="155"/>
      <c r="P30" s="14"/>
      <c r="Q30" s="14">
        <v>2220</v>
      </c>
      <c r="R30" s="14"/>
      <c r="S30" s="14"/>
      <c r="T30" s="14"/>
      <c r="U30" s="14"/>
      <c r="V30" s="14"/>
      <c r="W30" s="14"/>
      <c r="X30" s="14"/>
      <c r="Y30" s="14"/>
      <c r="Z30" s="156">
        <f t="shared" si="2"/>
        <v>3920</v>
      </c>
      <c r="AC30" s="95"/>
      <c r="AD30" s="210"/>
      <c r="AE30" s="211"/>
      <c r="AF30" s="212"/>
    </row>
    <row r="31" spans="1:32" ht="16" thickBot="1" x14ac:dyDescent="0.25">
      <c r="A31" s="157">
        <v>5503</v>
      </c>
      <c r="B31" s="158" t="s">
        <v>45</v>
      </c>
      <c r="C31" s="148">
        <v>48</v>
      </c>
      <c r="D31" s="16">
        <v>2400</v>
      </c>
      <c r="E31" s="159">
        <v>245</v>
      </c>
      <c r="F31" s="160"/>
      <c r="G31" s="161"/>
      <c r="H31" s="162"/>
      <c r="I31" s="223"/>
      <c r="J31" s="220"/>
      <c r="K31" s="163"/>
      <c r="L31" s="154"/>
      <c r="M31" s="155">
        <f t="shared" si="0"/>
        <v>2400</v>
      </c>
      <c r="N31" s="155">
        <f t="shared" si="1"/>
        <v>245</v>
      </c>
      <c r="O31" s="155"/>
      <c r="P31" s="14"/>
      <c r="Q31" s="14">
        <v>720</v>
      </c>
      <c r="R31" s="14"/>
      <c r="S31" s="14"/>
      <c r="T31" s="14"/>
      <c r="U31" s="14"/>
      <c r="V31" s="14"/>
      <c r="W31" s="14"/>
      <c r="X31" s="14"/>
      <c r="Y31" s="14"/>
      <c r="Z31" s="156">
        <f t="shared" si="2"/>
        <v>3365</v>
      </c>
      <c r="AC31" s="95"/>
      <c r="AD31" s="210"/>
      <c r="AE31" s="211"/>
      <c r="AF31" s="212"/>
    </row>
    <row r="32" spans="1:32" ht="16" thickBot="1" x14ac:dyDescent="0.25">
      <c r="A32" s="157">
        <v>5504</v>
      </c>
      <c r="B32" s="158" t="s">
        <v>46</v>
      </c>
      <c r="C32" s="148">
        <v>31</v>
      </c>
      <c r="D32" s="16">
        <v>1550</v>
      </c>
      <c r="E32" s="159">
        <v>500</v>
      </c>
      <c r="F32" s="160"/>
      <c r="G32" s="161"/>
      <c r="H32" s="162"/>
      <c r="I32" s="223"/>
      <c r="J32" s="220"/>
      <c r="K32" s="163"/>
      <c r="L32" s="154"/>
      <c r="M32" s="155">
        <f t="shared" si="0"/>
        <v>1550</v>
      </c>
      <c r="N32" s="155">
        <f t="shared" si="1"/>
        <v>500</v>
      </c>
      <c r="O32" s="155"/>
      <c r="P32" s="14"/>
      <c r="Q32" s="14">
        <v>1550</v>
      </c>
      <c r="R32" s="14"/>
      <c r="S32" s="14"/>
      <c r="T32" s="14"/>
      <c r="U32" s="14"/>
      <c r="V32" s="14"/>
      <c r="W32" s="14"/>
      <c r="X32" s="14"/>
      <c r="Y32" s="14"/>
      <c r="Z32" s="156">
        <f t="shared" si="2"/>
        <v>3600</v>
      </c>
      <c r="AC32" s="95"/>
      <c r="AD32" s="210"/>
      <c r="AE32" s="211"/>
      <c r="AF32" s="212"/>
    </row>
    <row r="33" spans="1:32" s="114" customFormat="1" ht="16" thickBot="1" x14ac:dyDescent="0.25">
      <c r="A33" s="164">
        <v>5917</v>
      </c>
      <c r="B33" s="165" t="s">
        <v>47</v>
      </c>
      <c r="C33" s="166">
        <v>11</v>
      </c>
      <c r="D33" s="17">
        <v>550</v>
      </c>
      <c r="E33" s="167">
        <v>1900</v>
      </c>
      <c r="F33" s="168"/>
      <c r="G33" s="169"/>
      <c r="H33" s="170"/>
      <c r="I33" s="224"/>
      <c r="J33" s="221"/>
      <c r="K33" s="156"/>
      <c r="L33" s="171"/>
      <c r="M33" s="172">
        <f t="shared" si="0"/>
        <v>550</v>
      </c>
      <c r="N33" s="172">
        <f t="shared" si="1"/>
        <v>1900</v>
      </c>
      <c r="O33" s="172"/>
      <c r="P33" s="89"/>
      <c r="Q33" s="89">
        <v>5</v>
      </c>
      <c r="R33" s="89"/>
      <c r="S33" s="89"/>
      <c r="T33" s="89"/>
      <c r="U33" s="89"/>
      <c r="V33" s="89"/>
      <c r="W33" s="89"/>
      <c r="X33" s="89"/>
      <c r="Y33" s="89"/>
      <c r="Z33" s="156">
        <f t="shared" si="2"/>
        <v>2455</v>
      </c>
      <c r="AB33"/>
      <c r="AC33" s="95"/>
      <c r="AD33" s="210"/>
      <c r="AE33" s="211"/>
      <c r="AF33" s="212"/>
    </row>
    <row r="34" spans="1:32" ht="16" thickBot="1" x14ac:dyDescent="0.25">
      <c r="A34" s="157"/>
      <c r="B34" s="158" t="s">
        <v>432</v>
      </c>
      <c r="C34" s="148">
        <v>51</v>
      </c>
      <c r="D34" s="16">
        <v>2550</v>
      </c>
      <c r="E34" s="159">
        <v>255</v>
      </c>
      <c r="F34" s="160"/>
      <c r="G34" s="161"/>
      <c r="H34" s="162"/>
      <c r="I34" s="223"/>
      <c r="J34" s="220"/>
      <c r="K34" s="163"/>
      <c r="L34" s="154"/>
      <c r="M34" s="155">
        <f t="shared" si="0"/>
        <v>2550</v>
      </c>
      <c r="N34" s="155">
        <f t="shared" si="1"/>
        <v>255</v>
      </c>
      <c r="O34" s="155"/>
      <c r="P34" s="14"/>
      <c r="Q34" s="14">
        <v>3120</v>
      </c>
      <c r="R34" s="14"/>
      <c r="S34" s="14"/>
      <c r="T34" s="14"/>
      <c r="U34" s="14"/>
      <c r="V34" s="14"/>
      <c r="W34" s="14"/>
      <c r="X34" s="14"/>
      <c r="Y34" s="14"/>
      <c r="Z34" s="156">
        <f t="shared" si="2"/>
        <v>5925</v>
      </c>
      <c r="AC34" s="95"/>
      <c r="AD34" s="210"/>
      <c r="AE34" s="211"/>
      <c r="AF34" s="212"/>
    </row>
    <row r="35" spans="1:32" s="114" customFormat="1" ht="16" thickBot="1" x14ac:dyDescent="0.25">
      <c r="A35" s="164">
        <v>5506</v>
      </c>
      <c r="B35" s="165" t="s">
        <v>48</v>
      </c>
      <c r="C35" s="166">
        <v>137</v>
      </c>
      <c r="D35" s="17">
        <v>6850</v>
      </c>
      <c r="E35" s="167">
        <v>3680</v>
      </c>
      <c r="F35" s="168"/>
      <c r="G35" s="169"/>
      <c r="H35" s="170"/>
      <c r="I35" s="224">
        <v>400</v>
      </c>
      <c r="J35" s="221">
        <v>400</v>
      </c>
      <c r="K35" s="156"/>
      <c r="L35" s="171"/>
      <c r="M35" s="172">
        <f t="shared" si="0"/>
        <v>6450</v>
      </c>
      <c r="N35" s="172">
        <f t="shared" si="1"/>
        <v>3280</v>
      </c>
      <c r="O35" s="172"/>
      <c r="P35" s="89"/>
      <c r="Q35" s="89">
        <v>675</v>
      </c>
      <c r="R35" s="89"/>
      <c r="S35" s="89"/>
      <c r="T35" s="89"/>
      <c r="U35" s="89"/>
      <c r="V35" s="89"/>
      <c r="W35" s="89"/>
      <c r="X35" s="89"/>
      <c r="Y35" s="89"/>
      <c r="Z35" s="156">
        <f t="shared" si="2"/>
        <v>10405</v>
      </c>
      <c r="AB35"/>
      <c r="AC35" s="95"/>
      <c r="AD35" s="210"/>
      <c r="AE35" s="211"/>
      <c r="AF35" s="212"/>
    </row>
    <row r="36" spans="1:32" ht="16" thickBot="1" x14ac:dyDescent="0.25">
      <c r="A36" s="157">
        <v>5509</v>
      </c>
      <c r="B36" s="158" t="s">
        <v>49</v>
      </c>
      <c r="C36" s="148">
        <v>26</v>
      </c>
      <c r="D36" s="16">
        <v>1300</v>
      </c>
      <c r="E36" s="159">
        <v>355</v>
      </c>
      <c r="F36" s="160"/>
      <c r="G36" s="161"/>
      <c r="H36" s="162"/>
      <c r="I36" s="223"/>
      <c r="J36" s="220"/>
      <c r="K36" s="163"/>
      <c r="L36" s="154"/>
      <c r="M36" s="155">
        <f t="shared" si="0"/>
        <v>1300</v>
      </c>
      <c r="N36" s="155">
        <f t="shared" si="1"/>
        <v>355</v>
      </c>
      <c r="O36" s="155"/>
      <c r="P36" s="14"/>
      <c r="Q36" s="14">
        <v>25</v>
      </c>
      <c r="R36" s="14"/>
      <c r="S36" s="14"/>
      <c r="T36" s="14"/>
      <c r="U36" s="14"/>
      <c r="V36" s="14"/>
      <c r="W36" s="14"/>
      <c r="X36" s="14"/>
      <c r="Y36" s="14"/>
      <c r="Z36" s="156">
        <f t="shared" si="2"/>
        <v>1680</v>
      </c>
      <c r="AC36" s="95"/>
      <c r="AD36" s="210"/>
      <c r="AE36" s="211"/>
      <c r="AF36" s="212"/>
    </row>
    <row r="37" spans="1:32" s="114" customFormat="1" ht="16" thickBot="1" x14ac:dyDescent="0.25">
      <c r="A37" s="164">
        <v>5510</v>
      </c>
      <c r="B37" s="165" t="s">
        <v>50</v>
      </c>
      <c r="C37" s="166">
        <v>47</v>
      </c>
      <c r="D37" s="16">
        <v>2350</v>
      </c>
      <c r="E37" s="167">
        <v>1850</v>
      </c>
      <c r="F37" s="168"/>
      <c r="G37" s="169"/>
      <c r="H37" s="170"/>
      <c r="I37" s="224"/>
      <c r="J37" s="221"/>
      <c r="K37" s="156"/>
      <c r="L37" s="171"/>
      <c r="M37" s="172">
        <f t="shared" si="0"/>
        <v>2350</v>
      </c>
      <c r="N37" s="172">
        <f t="shared" si="1"/>
        <v>1850</v>
      </c>
      <c r="O37" s="172"/>
      <c r="P37" s="89"/>
      <c r="Q37" s="89">
        <v>-47</v>
      </c>
      <c r="R37" s="89"/>
      <c r="S37" s="89"/>
      <c r="T37" s="89"/>
      <c r="U37" s="89"/>
      <c r="V37" s="89"/>
      <c r="W37" s="89"/>
      <c r="X37" s="89"/>
      <c r="Y37" s="89"/>
      <c r="Z37" s="156">
        <f t="shared" si="2"/>
        <v>4153</v>
      </c>
      <c r="AB37"/>
      <c r="AC37" s="95"/>
      <c r="AD37" s="210"/>
      <c r="AE37" s="211"/>
      <c r="AF37" s="212"/>
    </row>
    <row r="38" spans="1:32" s="114" customFormat="1" ht="16" thickBot="1" x14ac:dyDescent="0.25">
      <c r="A38" s="164">
        <v>5511</v>
      </c>
      <c r="B38" s="165" t="s">
        <v>51</v>
      </c>
      <c r="C38" s="166">
        <v>186</v>
      </c>
      <c r="D38" s="16">
        <v>9300</v>
      </c>
      <c r="E38" s="167">
        <v>930</v>
      </c>
      <c r="F38" s="168"/>
      <c r="G38" s="169"/>
      <c r="H38" s="170"/>
      <c r="I38" s="224">
        <v>1818</v>
      </c>
      <c r="J38" s="221"/>
      <c r="K38" s="156"/>
      <c r="L38" s="171"/>
      <c r="M38" s="172">
        <f t="shared" ref="M38:M56" si="3">D38-I38</f>
        <v>7482</v>
      </c>
      <c r="N38" s="172">
        <f t="shared" ref="N38:N56" si="4">E38-J38</f>
        <v>930</v>
      </c>
      <c r="O38" s="172"/>
      <c r="P38" s="89"/>
      <c r="Q38" s="89">
        <v>5040</v>
      </c>
      <c r="R38" s="89"/>
      <c r="S38" s="89"/>
      <c r="T38" s="89"/>
      <c r="U38" s="89"/>
      <c r="V38" s="89"/>
      <c r="W38" s="89"/>
      <c r="X38" s="89"/>
      <c r="Y38" s="89"/>
      <c r="Z38" s="156">
        <f t="shared" si="2"/>
        <v>13452</v>
      </c>
      <c r="AB38"/>
      <c r="AC38" s="95"/>
      <c r="AD38" s="210"/>
      <c r="AE38" s="211"/>
      <c r="AF38" s="212"/>
    </row>
    <row r="39" spans="1:32" ht="16" thickBot="1" x14ac:dyDescent="0.25">
      <c r="A39" s="157">
        <v>5911</v>
      </c>
      <c r="B39" s="158" t="s">
        <v>52</v>
      </c>
      <c r="C39" s="148">
        <v>41</v>
      </c>
      <c r="D39" s="16">
        <v>2050</v>
      </c>
      <c r="E39" s="159">
        <v>2705</v>
      </c>
      <c r="F39" s="160"/>
      <c r="G39" s="161"/>
      <c r="H39" s="162"/>
      <c r="I39" s="223">
        <v>2050</v>
      </c>
      <c r="J39" s="220"/>
      <c r="K39" s="163"/>
      <c r="L39" s="154"/>
      <c r="M39" s="155">
        <f t="shared" si="3"/>
        <v>0</v>
      </c>
      <c r="N39" s="155">
        <f t="shared" si="4"/>
        <v>2705</v>
      </c>
      <c r="O39" s="155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56">
        <f t="shared" si="2"/>
        <v>2705</v>
      </c>
      <c r="AC39" s="95"/>
      <c r="AD39" s="210"/>
      <c r="AE39" s="211"/>
      <c r="AF39" s="212"/>
    </row>
    <row r="40" spans="1:32" s="114" customFormat="1" ht="16" thickBot="1" x14ac:dyDescent="0.25">
      <c r="A40" s="164">
        <v>5512</v>
      </c>
      <c r="B40" s="165" t="s">
        <v>53</v>
      </c>
      <c r="C40" s="166">
        <v>86</v>
      </c>
      <c r="D40" s="16">
        <v>4300</v>
      </c>
      <c r="E40" s="167">
        <v>2540</v>
      </c>
      <c r="F40" s="168"/>
      <c r="G40" s="169"/>
      <c r="H40" s="170"/>
      <c r="I40" s="224"/>
      <c r="J40" s="221"/>
      <c r="K40" s="156"/>
      <c r="L40" s="171"/>
      <c r="M40" s="172">
        <f t="shared" si="3"/>
        <v>4300</v>
      </c>
      <c r="N40" s="172">
        <f t="shared" si="4"/>
        <v>2540</v>
      </c>
      <c r="O40" s="172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156">
        <f t="shared" si="2"/>
        <v>6840</v>
      </c>
      <c r="AB40"/>
      <c r="AC40" s="95"/>
      <c r="AD40" s="210"/>
      <c r="AE40" s="211"/>
      <c r="AF40" s="212"/>
    </row>
    <row r="41" spans="1:32" ht="16" thickBot="1" x14ac:dyDescent="0.25">
      <c r="A41" s="157">
        <v>5513</v>
      </c>
      <c r="B41" s="158" t="s">
        <v>54</v>
      </c>
      <c r="C41" s="148">
        <v>119</v>
      </c>
      <c r="D41" s="16">
        <v>5950</v>
      </c>
      <c r="E41" s="159">
        <v>6115</v>
      </c>
      <c r="F41" s="160"/>
      <c r="G41" s="161"/>
      <c r="H41" s="162"/>
      <c r="I41" s="223"/>
      <c r="J41" s="221"/>
      <c r="K41" s="163"/>
      <c r="L41" s="154"/>
      <c r="M41" s="155">
        <f t="shared" si="3"/>
        <v>5950</v>
      </c>
      <c r="N41" s="155">
        <f t="shared" si="4"/>
        <v>6115</v>
      </c>
      <c r="O41" s="155"/>
      <c r="P41" s="14"/>
      <c r="Q41" s="14">
        <v>-36</v>
      </c>
      <c r="R41" s="14"/>
      <c r="S41" s="14"/>
      <c r="T41" s="14"/>
      <c r="U41" s="14"/>
      <c r="V41" s="14"/>
      <c r="W41" s="14"/>
      <c r="X41" s="14"/>
      <c r="Y41" s="14"/>
      <c r="Z41" s="156">
        <f t="shared" si="2"/>
        <v>12029</v>
      </c>
      <c r="AC41" s="95"/>
      <c r="AD41" s="210"/>
      <c r="AE41" s="211"/>
      <c r="AF41" s="212"/>
    </row>
    <row r="42" spans="1:32" s="114" customFormat="1" ht="16" thickBot="1" x14ac:dyDescent="0.25">
      <c r="A42" s="164">
        <v>10301</v>
      </c>
      <c r="B42" s="165" t="s">
        <v>55</v>
      </c>
      <c r="C42" s="166">
        <v>75</v>
      </c>
      <c r="D42" s="16">
        <v>3750</v>
      </c>
      <c r="E42" s="167">
        <v>150</v>
      </c>
      <c r="F42" s="168"/>
      <c r="G42" s="169"/>
      <c r="H42" s="170"/>
      <c r="I42" s="224">
        <v>250</v>
      </c>
      <c r="J42" s="221"/>
      <c r="K42" s="156"/>
      <c r="L42" s="171"/>
      <c r="M42" s="172">
        <f t="shared" si="3"/>
        <v>3500</v>
      </c>
      <c r="N42" s="172">
        <f t="shared" si="4"/>
        <v>150</v>
      </c>
      <c r="O42" s="172"/>
      <c r="P42" s="89"/>
      <c r="Q42" s="89">
        <v>2872.5</v>
      </c>
      <c r="R42" s="89"/>
      <c r="S42" s="89"/>
      <c r="T42" s="89"/>
      <c r="U42" s="89"/>
      <c r="V42" s="89"/>
      <c r="W42" s="89"/>
      <c r="X42" s="89"/>
      <c r="Y42" s="89"/>
      <c r="Z42" s="156">
        <f t="shared" si="2"/>
        <v>6522.5</v>
      </c>
      <c r="AB42"/>
      <c r="AC42" s="95"/>
      <c r="AD42" s="210"/>
      <c r="AE42" s="211"/>
      <c r="AF42" s="212"/>
    </row>
    <row r="43" spans="1:32" ht="16" thickBot="1" x14ac:dyDescent="0.25">
      <c r="A43" s="157">
        <v>5912</v>
      </c>
      <c r="B43" s="158" t="s">
        <v>56</v>
      </c>
      <c r="C43" s="148">
        <v>14</v>
      </c>
      <c r="D43" s="16">
        <v>700</v>
      </c>
      <c r="E43" s="159">
        <v>140</v>
      </c>
      <c r="F43" s="160"/>
      <c r="G43" s="161"/>
      <c r="H43" s="162"/>
      <c r="I43" s="223"/>
      <c r="J43" s="220"/>
      <c r="K43" s="163"/>
      <c r="L43" s="154"/>
      <c r="M43" s="155">
        <f t="shared" si="3"/>
        <v>700</v>
      </c>
      <c r="N43" s="155">
        <f t="shared" si="4"/>
        <v>140</v>
      </c>
      <c r="O43" s="155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248">
        <f t="shared" si="2"/>
        <v>840</v>
      </c>
      <c r="AC43" s="95"/>
      <c r="AD43" s="210"/>
      <c r="AE43" s="211"/>
      <c r="AF43" s="212"/>
    </row>
    <row r="44" spans="1:32" s="114" customFormat="1" ht="16" thickBot="1" x14ac:dyDescent="0.25">
      <c r="A44" s="164">
        <v>5913</v>
      </c>
      <c r="B44" s="165" t="s">
        <v>57</v>
      </c>
      <c r="C44" s="166">
        <v>41</v>
      </c>
      <c r="D44" s="16">
        <v>2050</v>
      </c>
      <c r="E44" s="167">
        <v>6310</v>
      </c>
      <c r="F44" s="168"/>
      <c r="G44" s="169"/>
      <c r="H44" s="170"/>
      <c r="I44" s="224">
        <v>575</v>
      </c>
      <c r="J44" s="221">
        <v>1577</v>
      </c>
      <c r="K44" s="156"/>
      <c r="L44" s="171"/>
      <c r="M44" s="172">
        <f t="shared" si="3"/>
        <v>1475</v>
      </c>
      <c r="N44" s="172">
        <f t="shared" si="4"/>
        <v>4733</v>
      </c>
      <c r="O44" s="172"/>
      <c r="P44" s="89"/>
      <c r="Q44" s="89">
        <v>1</v>
      </c>
      <c r="R44" s="89"/>
      <c r="S44" s="89"/>
      <c r="T44" s="89"/>
      <c r="U44" s="89"/>
      <c r="V44" s="89"/>
      <c r="W44" s="89"/>
      <c r="X44" s="89"/>
      <c r="Y44" s="89"/>
      <c r="Z44" s="248">
        <f t="shared" si="2"/>
        <v>6209</v>
      </c>
      <c r="AB44"/>
      <c r="AC44" s="95"/>
      <c r="AD44" s="210"/>
      <c r="AE44" s="211"/>
      <c r="AF44" s="212"/>
    </row>
    <row r="45" spans="1:32" ht="16" thickBot="1" x14ac:dyDescent="0.25">
      <c r="A45" s="157"/>
      <c r="B45" s="158" t="s">
        <v>539</v>
      </c>
      <c r="C45" s="148">
        <v>12</v>
      </c>
      <c r="D45" s="16">
        <v>600</v>
      </c>
      <c r="E45" s="159">
        <v>60</v>
      </c>
      <c r="F45" s="160"/>
      <c r="G45" s="161"/>
      <c r="H45" s="162"/>
      <c r="I45" s="223"/>
      <c r="J45" s="220"/>
      <c r="K45" s="163"/>
      <c r="L45" s="154"/>
      <c r="M45" s="172">
        <f t="shared" si="3"/>
        <v>600</v>
      </c>
      <c r="N45" s="172">
        <f t="shared" si="4"/>
        <v>60</v>
      </c>
      <c r="O45" s="172"/>
      <c r="P45" s="14"/>
      <c r="Q45" s="14">
        <v>1200</v>
      </c>
      <c r="R45" s="14"/>
      <c r="S45" s="14"/>
      <c r="T45" s="14"/>
      <c r="U45" s="14"/>
      <c r="V45" s="14"/>
      <c r="W45" s="14"/>
      <c r="X45" s="14"/>
      <c r="Y45" s="14"/>
      <c r="Z45" s="156">
        <f t="shared" si="2"/>
        <v>1860</v>
      </c>
      <c r="AC45" s="95"/>
      <c r="AD45" s="210"/>
      <c r="AE45" s="211"/>
      <c r="AF45" s="212"/>
    </row>
    <row r="46" spans="1:32" s="114" customFormat="1" ht="16" thickBot="1" x14ac:dyDescent="0.25">
      <c r="A46" s="164">
        <v>5914</v>
      </c>
      <c r="B46" s="165" t="s">
        <v>58</v>
      </c>
      <c r="C46" s="166">
        <v>28</v>
      </c>
      <c r="D46" s="16">
        <v>1400</v>
      </c>
      <c r="E46" s="167">
        <v>3810</v>
      </c>
      <c r="F46" s="168"/>
      <c r="G46" s="169"/>
      <c r="H46" s="170"/>
      <c r="I46" s="224"/>
      <c r="J46" s="221"/>
      <c r="K46" s="156"/>
      <c r="L46" s="171"/>
      <c r="M46" s="172">
        <f t="shared" si="3"/>
        <v>1400</v>
      </c>
      <c r="N46" s="172">
        <f t="shared" si="4"/>
        <v>3810</v>
      </c>
      <c r="O46" s="172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156">
        <f t="shared" si="2"/>
        <v>5210</v>
      </c>
      <c r="AB46"/>
      <c r="AC46" s="95"/>
      <c r="AD46" s="210"/>
      <c r="AE46" s="211"/>
      <c r="AF46" s="212"/>
    </row>
    <row r="47" spans="1:32" s="114" customFormat="1" ht="16" thickBot="1" x14ac:dyDescent="0.25">
      <c r="A47" s="164">
        <v>5523</v>
      </c>
      <c r="B47" s="165" t="s">
        <v>59</v>
      </c>
      <c r="C47" s="166">
        <v>42</v>
      </c>
      <c r="D47" s="16">
        <v>2100</v>
      </c>
      <c r="E47" s="167">
        <v>260</v>
      </c>
      <c r="F47" s="168"/>
      <c r="G47" s="169"/>
      <c r="H47" s="170"/>
      <c r="I47" s="224">
        <v>525</v>
      </c>
      <c r="J47" s="221"/>
      <c r="K47" s="156"/>
      <c r="L47" s="171"/>
      <c r="M47" s="172">
        <f t="shared" si="3"/>
        <v>1575</v>
      </c>
      <c r="N47" s="172">
        <f t="shared" si="4"/>
        <v>260</v>
      </c>
      <c r="O47" s="172"/>
      <c r="P47" s="89"/>
      <c r="Q47" s="89">
        <v>488.62</v>
      </c>
      <c r="R47" s="89"/>
      <c r="S47" s="89"/>
      <c r="T47" s="89"/>
      <c r="U47" s="89"/>
      <c r="V47" s="89"/>
      <c r="W47" s="89"/>
      <c r="X47" s="89"/>
      <c r="Y47" s="89"/>
      <c r="Z47" s="156">
        <f t="shared" si="2"/>
        <v>2323.62</v>
      </c>
      <c r="AB47"/>
      <c r="AC47" s="95"/>
      <c r="AD47" s="210"/>
      <c r="AE47" s="211"/>
      <c r="AF47" s="212"/>
    </row>
    <row r="48" spans="1:32" s="114" customFormat="1" ht="16" thickBot="1" x14ac:dyDescent="0.25">
      <c r="A48" s="164">
        <v>5518</v>
      </c>
      <c r="B48" s="165" t="s">
        <v>60</v>
      </c>
      <c r="C48" s="166">
        <v>59</v>
      </c>
      <c r="D48" s="16">
        <v>2950</v>
      </c>
      <c r="E48" s="167">
        <v>5505</v>
      </c>
      <c r="F48" s="168"/>
      <c r="G48" s="169"/>
      <c r="H48" s="170"/>
      <c r="I48" s="224">
        <v>491.66</v>
      </c>
      <c r="J48" s="221">
        <v>925</v>
      </c>
      <c r="K48" s="156"/>
      <c r="L48" s="171"/>
      <c r="M48" s="172">
        <f t="shared" si="3"/>
        <v>2458.34</v>
      </c>
      <c r="N48" s="172">
        <f t="shared" si="4"/>
        <v>4580</v>
      </c>
      <c r="O48" s="172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156">
        <f t="shared" si="2"/>
        <v>7038.34</v>
      </c>
      <c r="AB48"/>
      <c r="AC48" s="95"/>
      <c r="AD48" s="210"/>
      <c r="AE48" s="211"/>
      <c r="AF48" s="212"/>
    </row>
    <row r="49" spans="1:32" ht="16" thickBot="1" x14ac:dyDescent="0.25">
      <c r="A49" s="157">
        <v>5520</v>
      </c>
      <c r="B49" s="158" t="s">
        <v>61</v>
      </c>
      <c r="C49" s="148">
        <v>22</v>
      </c>
      <c r="D49" s="16">
        <v>1100</v>
      </c>
      <c r="E49" s="159">
        <v>110</v>
      </c>
      <c r="F49" s="160"/>
      <c r="G49" s="161"/>
      <c r="H49" s="162"/>
      <c r="I49" s="223"/>
      <c r="J49" s="220"/>
      <c r="K49" s="163"/>
      <c r="L49" s="154"/>
      <c r="M49" s="155">
        <f t="shared" si="3"/>
        <v>1100</v>
      </c>
      <c r="N49" s="155">
        <f t="shared" si="4"/>
        <v>110</v>
      </c>
      <c r="O49" s="155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56">
        <f t="shared" si="2"/>
        <v>1210</v>
      </c>
      <c r="AC49" s="95"/>
      <c r="AD49" s="210"/>
      <c r="AE49" s="211"/>
      <c r="AF49" s="212"/>
    </row>
    <row r="50" spans="1:32" s="87" customFormat="1" ht="16" thickBot="1" x14ac:dyDescent="0.25">
      <c r="A50" s="226">
        <v>5521</v>
      </c>
      <c r="B50" s="227" t="s">
        <v>62</v>
      </c>
      <c r="C50" s="228">
        <v>157</v>
      </c>
      <c r="D50" s="229">
        <v>7850</v>
      </c>
      <c r="E50" s="230">
        <v>1570</v>
      </c>
      <c r="F50" s="231"/>
      <c r="G50" s="232"/>
      <c r="H50" s="233"/>
      <c r="I50" s="234"/>
      <c r="J50" s="235"/>
      <c r="K50" s="236"/>
      <c r="L50" s="237"/>
      <c r="M50" s="238">
        <f t="shared" si="3"/>
        <v>7850</v>
      </c>
      <c r="N50" s="238">
        <f t="shared" si="4"/>
        <v>1570</v>
      </c>
      <c r="O50" s="238"/>
      <c r="P50" s="239"/>
      <c r="Q50" s="239">
        <v>9197.5</v>
      </c>
      <c r="R50" s="239"/>
      <c r="S50" s="239"/>
      <c r="T50" s="239">
        <v>-2012.5</v>
      </c>
      <c r="U50" s="239"/>
      <c r="V50" s="239"/>
      <c r="W50" s="239"/>
      <c r="X50" s="239"/>
      <c r="Y50" s="239"/>
      <c r="Z50" s="240">
        <f t="shared" si="2"/>
        <v>16605</v>
      </c>
      <c r="AC50" s="241"/>
      <c r="AD50" s="242"/>
      <c r="AE50" s="243"/>
      <c r="AF50" s="244"/>
    </row>
    <row r="51" spans="1:32" s="114" customFormat="1" ht="16" thickBot="1" x14ac:dyDescent="0.25">
      <c r="A51" s="164">
        <v>5915</v>
      </c>
      <c r="B51" s="165" t="s">
        <v>63</v>
      </c>
      <c r="C51" s="166">
        <v>38</v>
      </c>
      <c r="D51" s="16">
        <v>1900</v>
      </c>
      <c r="E51" s="167">
        <v>1505</v>
      </c>
      <c r="F51" s="168"/>
      <c r="G51" s="169"/>
      <c r="H51" s="170"/>
      <c r="I51" s="224">
        <v>316.74</v>
      </c>
      <c r="J51" s="221">
        <v>250</v>
      </c>
      <c r="K51" s="156"/>
      <c r="L51" s="171"/>
      <c r="M51" s="172">
        <f t="shared" si="3"/>
        <v>1583.26</v>
      </c>
      <c r="N51" s="172">
        <f t="shared" si="4"/>
        <v>1255</v>
      </c>
      <c r="O51" s="172"/>
      <c r="P51" s="89"/>
      <c r="Q51" s="89">
        <v>-680</v>
      </c>
      <c r="R51" s="89"/>
      <c r="S51" s="89"/>
      <c r="T51" s="89"/>
      <c r="U51" s="89"/>
      <c r="V51" s="89"/>
      <c r="W51" s="89"/>
      <c r="X51" s="89"/>
      <c r="Y51" s="89"/>
      <c r="Z51" s="156">
        <f t="shared" si="2"/>
        <v>2158.2600000000002</v>
      </c>
      <c r="AB51"/>
      <c r="AC51" s="95"/>
      <c r="AD51" s="210"/>
      <c r="AE51" s="211"/>
      <c r="AF51" s="212"/>
    </row>
    <row r="52" spans="1:32" s="114" customFormat="1" ht="16" thickBot="1" x14ac:dyDescent="0.25">
      <c r="A52" s="164">
        <v>5524</v>
      </c>
      <c r="B52" s="165" t="s">
        <v>64</v>
      </c>
      <c r="C52" s="166">
        <v>79</v>
      </c>
      <c r="D52" s="16">
        <v>3950</v>
      </c>
      <c r="E52" s="167">
        <v>4405</v>
      </c>
      <c r="F52" s="168"/>
      <c r="G52" s="169"/>
      <c r="H52" s="170"/>
      <c r="I52" s="224">
        <v>642</v>
      </c>
      <c r="J52" s="221">
        <v>734</v>
      </c>
      <c r="K52" s="156"/>
      <c r="L52" s="171"/>
      <c r="M52" s="172">
        <f t="shared" si="3"/>
        <v>3308</v>
      </c>
      <c r="N52" s="172">
        <f t="shared" si="4"/>
        <v>3671</v>
      </c>
      <c r="O52" s="172"/>
      <c r="P52" s="89"/>
      <c r="Q52" s="89">
        <v>1993</v>
      </c>
      <c r="R52" s="89"/>
      <c r="S52" s="89"/>
      <c r="T52" s="89"/>
      <c r="U52" s="89"/>
      <c r="V52" s="89"/>
      <c r="W52" s="89"/>
      <c r="X52" s="89"/>
      <c r="Y52" s="89"/>
      <c r="Z52" s="248">
        <f t="shared" si="2"/>
        <v>8972</v>
      </c>
      <c r="AB52"/>
      <c r="AC52" s="95"/>
      <c r="AD52" s="210"/>
      <c r="AE52" s="211"/>
      <c r="AF52" s="212"/>
    </row>
    <row r="53" spans="1:32" s="114" customFormat="1" ht="16" thickBot="1" x14ac:dyDescent="0.25">
      <c r="A53" s="164">
        <v>5525</v>
      </c>
      <c r="B53" s="165" t="s">
        <v>65</v>
      </c>
      <c r="C53" s="166">
        <v>66</v>
      </c>
      <c r="D53" s="16">
        <v>3300</v>
      </c>
      <c r="E53" s="167">
        <v>660</v>
      </c>
      <c r="F53" s="168"/>
      <c r="G53" s="169"/>
      <c r="H53" s="170"/>
      <c r="I53" s="224"/>
      <c r="J53" s="221"/>
      <c r="K53" s="156"/>
      <c r="L53" s="171"/>
      <c r="M53" s="172">
        <f t="shared" si="3"/>
        <v>3300</v>
      </c>
      <c r="N53" s="172">
        <f t="shared" si="4"/>
        <v>660</v>
      </c>
      <c r="O53" s="172"/>
      <c r="P53" s="89"/>
      <c r="Q53" s="89">
        <v>4250</v>
      </c>
      <c r="R53" s="89"/>
      <c r="S53" s="89"/>
      <c r="T53" s="89"/>
      <c r="U53" s="89"/>
      <c r="V53" s="89"/>
      <c r="W53" s="89"/>
      <c r="X53" s="89"/>
      <c r="Y53" s="89"/>
      <c r="Z53" s="156">
        <f t="shared" si="2"/>
        <v>8210</v>
      </c>
      <c r="AB53"/>
      <c r="AC53" s="95"/>
      <c r="AD53" s="210"/>
      <c r="AE53" s="211"/>
      <c r="AF53" s="212"/>
    </row>
    <row r="54" spans="1:32" ht="16" thickBot="1" x14ac:dyDescent="0.25">
      <c r="A54" s="157">
        <v>5916</v>
      </c>
      <c r="B54" s="158" t="s">
        <v>66</v>
      </c>
      <c r="C54" s="148">
        <v>132</v>
      </c>
      <c r="D54" s="16">
        <v>6600</v>
      </c>
      <c r="E54" s="159">
        <v>7030</v>
      </c>
      <c r="F54" s="160"/>
      <c r="G54" s="161"/>
      <c r="H54" s="162"/>
      <c r="I54" s="223"/>
      <c r="J54" s="220"/>
      <c r="K54" s="163"/>
      <c r="L54" s="154"/>
      <c r="M54" s="155">
        <f t="shared" si="3"/>
        <v>6600</v>
      </c>
      <c r="N54" s="155">
        <f t="shared" si="4"/>
        <v>7030</v>
      </c>
      <c r="O54" s="155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56">
        <f t="shared" si="2"/>
        <v>13630</v>
      </c>
      <c r="AC54" s="95"/>
      <c r="AD54" s="210"/>
      <c r="AE54" s="211"/>
      <c r="AF54" s="212"/>
    </row>
    <row r="55" spans="1:32" s="114" customFormat="1" ht="16" thickBot="1" x14ac:dyDescent="0.25">
      <c r="A55" s="164"/>
      <c r="B55" s="165" t="s">
        <v>430</v>
      </c>
      <c r="C55" s="166">
        <v>22</v>
      </c>
      <c r="D55" s="16">
        <v>1100</v>
      </c>
      <c r="E55" s="167">
        <v>1635</v>
      </c>
      <c r="F55" s="168"/>
      <c r="G55" s="169"/>
      <c r="H55" s="170"/>
      <c r="I55" s="224">
        <v>312.5</v>
      </c>
      <c r="J55" s="221">
        <v>420</v>
      </c>
      <c r="K55" s="156"/>
      <c r="L55" s="171"/>
      <c r="M55" s="172">
        <f t="shared" si="3"/>
        <v>787.5</v>
      </c>
      <c r="N55" s="155">
        <f t="shared" si="4"/>
        <v>1215</v>
      </c>
      <c r="O55" s="172"/>
      <c r="P55" s="89"/>
      <c r="Q55" s="89">
        <v>-176.46</v>
      </c>
      <c r="R55" s="89"/>
      <c r="S55" s="89"/>
      <c r="T55" s="89"/>
      <c r="U55" s="89"/>
      <c r="V55" s="89"/>
      <c r="W55" s="89"/>
      <c r="X55" s="89"/>
      <c r="Y55" s="89"/>
      <c r="Z55" s="156">
        <f t="shared" si="2"/>
        <v>1826.04</v>
      </c>
      <c r="AB55"/>
      <c r="AC55" s="95"/>
      <c r="AD55" s="210"/>
      <c r="AE55" s="211"/>
      <c r="AF55" s="212"/>
    </row>
    <row r="56" spans="1:32" s="114" customFormat="1" ht="16" thickBot="1" x14ac:dyDescent="0.25">
      <c r="A56" s="164"/>
      <c r="B56" s="165" t="s">
        <v>431</v>
      </c>
      <c r="C56" s="166">
        <v>67</v>
      </c>
      <c r="D56" s="16">
        <v>3350</v>
      </c>
      <c r="E56" s="167">
        <v>1105</v>
      </c>
      <c r="F56" s="168"/>
      <c r="G56" s="169"/>
      <c r="H56" s="170"/>
      <c r="I56" s="224"/>
      <c r="J56" s="221"/>
      <c r="K56" s="156"/>
      <c r="L56" s="171"/>
      <c r="M56" s="172">
        <f t="shared" si="3"/>
        <v>3350</v>
      </c>
      <c r="N56" s="155">
        <f t="shared" si="4"/>
        <v>1105</v>
      </c>
      <c r="O56" s="172"/>
      <c r="P56" s="89"/>
      <c r="Q56" s="89">
        <v>-540</v>
      </c>
      <c r="R56" s="89"/>
      <c r="S56" s="89"/>
      <c r="T56" s="89"/>
      <c r="U56" s="89"/>
      <c r="V56" s="89"/>
      <c r="W56" s="89"/>
      <c r="X56" s="89"/>
      <c r="Y56" s="89"/>
      <c r="Z56" s="156">
        <f t="shared" si="2"/>
        <v>3915</v>
      </c>
      <c r="AB56"/>
      <c r="AC56" s="95"/>
      <c r="AD56" s="210"/>
      <c r="AE56" s="211"/>
      <c r="AF56" s="212"/>
    </row>
    <row r="57" spans="1:32" s="114" customFormat="1" ht="16" thickBot="1" x14ac:dyDescent="0.25">
      <c r="A57" s="164"/>
      <c r="B57" s="165" t="s">
        <v>509</v>
      </c>
      <c r="C57" s="166"/>
      <c r="D57" s="16"/>
      <c r="E57" s="167"/>
      <c r="F57" s="168"/>
      <c r="G57" s="169"/>
      <c r="H57" s="170"/>
      <c r="I57" s="224"/>
      <c r="J57" s="221"/>
      <c r="K57" s="156"/>
      <c r="L57" s="171"/>
      <c r="M57" s="172"/>
      <c r="N57" s="172"/>
      <c r="O57" s="172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156">
        <f t="shared" si="2"/>
        <v>0</v>
      </c>
      <c r="AB57"/>
      <c r="AC57" s="95"/>
      <c r="AD57" s="210"/>
      <c r="AE57" s="211"/>
      <c r="AF57" s="212"/>
    </row>
    <row r="58" spans="1:32" ht="16" thickBot="1" x14ac:dyDescent="0.25">
      <c r="A58" s="174"/>
      <c r="B58" s="175"/>
      <c r="C58" s="176"/>
      <c r="D58" s="16"/>
      <c r="E58" s="177"/>
      <c r="F58" s="160"/>
      <c r="G58" s="178"/>
      <c r="H58" s="179"/>
      <c r="I58" s="223"/>
      <c r="J58" s="222"/>
      <c r="K58" s="180"/>
      <c r="L58" s="154"/>
      <c r="M58" s="155"/>
      <c r="N58" s="155"/>
      <c r="O58" s="155"/>
      <c r="P58" s="14"/>
      <c r="Q58" s="14"/>
      <c r="R58" s="14"/>
      <c r="S58" s="14"/>
      <c r="T58" s="14"/>
      <c r="U58" s="14"/>
      <c r="W58" s="14"/>
      <c r="X58" s="14"/>
      <c r="Y58" s="14"/>
      <c r="Z58" s="156">
        <f t="shared" si="2"/>
        <v>0</v>
      </c>
    </row>
    <row r="59" spans="1:32" ht="16" thickBot="1" x14ac:dyDescent="0.25">
      <c r="A59" s="174" t="s">
        <v>490</v>
      </c>
      <c r="B59" s="175"/>
      <c r="C59" s="176"/>
      <c r="D59" s="16"/>
      <c r="E59" s="177"/>
      <c r="F59" s="160"/>
      <c r="G59" s="178"/>
      <c r="H59" s="179"/>
      <c r="I59" s="223"/>
      <c r="J59" s="222"/>
      <c r="K59" s="180"/>
      <c r="L59" s="154"/>
      <c r="M59" s="155"/>
      <c r="N59" s="155"/>
      <c r="O59" s="155"/>
      <c r="P59" s="14"/>
      <c r="Q59" s="14"/>
      <c r="R59" s="14"/>
      <c r="S59" s="14"/>
      <c r="T59" s="14"/>
      <c r="U59" s="14"/>
      <c r="W59" s="14"/>
      <c r="X59" s="14"/>
      <c r="Y59" s="14"/>
      <c r="Z59" s="156">
        <f t="shared" si="2"/>
        <v>0</v>
      </c>
    </row>
    <row r="60" spans="1:32" ht="16" thickBot="1" x14ac:dyDescent="0.25">
      <c r="A60" s="181"/>
      <c r="B60" s="175"/>
      <c r="C60" s="176"/>
      <c r="D60" s="16"/>
      <c r="E60" s="177"/>
      <c r="F60" s="160"/>
      <c r="G60" s="178"/>
      <c r="H60" s="179"/>
      <c r="I60" s="223"/>
      <c r="J60" s="222"/>
      <c r="K60" s="180"/>
      <c r="L60" s="154"/>
      <c r="M60" s="155"/>
      <c r="N60" s="155"/>
      <c r="O60" s="155"/>
      <c r="P60" s="14"/>
      <c r="Q60" s="14"/>
      <c r="R60" s="14"/>
      <c r="S60" s="14"/>
      <c r="T60" s="14"/>
      <c r="U60" s="14"/>
      <c r="W60" s="14"/>
      <c r="X60" s="14"/>
      <c r="Y60" s="14"/>
      <c r="Z60" s="156"/>
    </row>
    <row r="61" spans="1:32" ht="16" thickBot="1" x14ac:dyDescent="0.25">
      <c r="A61" s="175" t="s">
        <v>514</v>
      </c>
      <c r="B61" s="175" t="s">
        <v>515</v>
      </c>
      <c r="C61" s="176"/>
      <c r="D61" s="16"/>
      <c r="E61" s="177"/>
      <c r="F61" s="160"/>
      <c r="G61" s="178"/>
      <c r="H61" s="179"/>
      <c r="I61" s="223"/>
      <c r="J61" s="222"/>
      <c r="K61" s="180"/>
      <c r="L61" s="154"/>
      <c r="M61" s="155"/>
      <c r="N61" s="155"/>
      <c r="O61" s="155"/>
      <c r="P61" s="14"/>
      <c r="Q61" s="14"/>
      <c r="R61" s="14"/>
      <c r="S61" s="14"/>
      <c r="T61" s="14"/>
      <c r="U61" s="14"/>
      <c r="W61" s="14"/>
      <c r="X61" s="14"/>
      <c r="Y61" s="14"/>
      <c r="Z61" s="156">
        <f>SUM(Q61:Q63)</f>
        <v>5164</v>
      </c>
    </row>
    <row r="62" spans="1:32" ht="16" thickBot="1" x14ac:dyDescent="0.25">
      <c r="A62" s="175" t="s">
        <v>514</v>
      </c>
      <c r="B62" s="182"/>
      <c r="C62" s="176"/>
      <c r="D62" s="16"/>
      <c r="E62" s="177"/>
      <c r="F62" s="160"/>
      <c r="G62" s="178"/>
      <c r="H62" s="179"/>
      <c r="I62" s="223"/>
      <c r="J62" s="222"/>
      <c r="K62" s="180"/>
      <c r="L62" s="154"/>
      <c r="M62" s="155"/>
      <c r="N62" s="155"/>
      <c r="O62" s="155"/>
      <c r="P62" s="14"/>
      <c r="Q62" s="14">
        <v>5164</v>
      </c>
      <c r="R62" s="14"/>
      <c r="S62" s="14"/>
      <c r="T62" s="14"/>
      <c r="U62" s="14"/>
      <c r="W62" s="14"/>
      <c r="X62" s="14"/>
      <c r="Y62" s="14"/>
      <c r="Z62" s="156"/>
    </row>
    <row r="63" spans="1:32" ht="16" thickBot="1" x14ac:dyDescent="0.25">
      <c r="A63" s="175" t="s">
        <v>514</v>
      </c>
      <c r="B63" s="182" t="s">
        <v>511</v>
      </c>
      <c r="C63" s="176"/>
      <c r="D63" s="16"/>
      <c r="E63" s="177"/>
      <c r="F63" s="160"/>
      <c r="G63" s="178"/>
      <c r="H63" s="179"/>
      <c r="I63" s="223"/>
      <c r="J63" s="222"/>
      <c r="K63" s="180"/>
      <c r="L63" s="154"/>
      <c r="M63" s="155"/>
      <c r="N63" s="155"/>
      <c r="O63" s="155"/>
      <c r="P63" s="14"/>
      <c r="Q63" s="14"/>
      <c r="R63" s="14"/>
      <c r="S63" s="14"/>
      <c r="T63" s="14"/>
      <c r="U63" s="14"/>
      <c r="W63" s="14"/>
      <c r="X63" s="14"/>
      <c r="Y63" s="14"/>
      <c r="Z63" s="156">
        <f>M63+N63+Q63+T63</f>
        <v>0</v>
      </c>
    </row>
    <row r="64" spans="1:32" ht="16" thickBot="1" x14ac:dyDescent="0.25">
      <c r="A64" s="174" t="s">
        <v>521</v>
      </c>
      <c r="B64" s="175"/>
      <c r="C64" s="176"/>
      <c r="D64" s="16"/>
      <c r="E64" s="177"/>
      <c r="F64" s="148"/>
      <c r="G64" s="178"/>
      <c r="H64" s="179"/>
      <c r="I64" s="223"/>
      <c r="J64" s="222"/>
      <c r="K64" s="180"/>
      <c r="L64" s="154"/>
      <c r="M64" s="155"/>
      <c r="N64" s="155"/>
      <c r="O64" s="155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56">
        <f>SUM(Q64:X64)</f>
        <v>0</v>
      </c>
    </row>
    <row r="65" spans="1:26" ht="16" thickBot="1" x14ac:dyDescent="0.25">
      <c r="A65" s="174"/>
      <c r="B65" s="175"/>
      <c r="C65" s="176"/>
      <c r="D65" s="16"/>
      <c r="E65" s="174"/>
      <c r="F65" s="183"/>
      <c r="G65" s="184"/>
      <c r="H65" s="181"/>
      <c r="I65" s="223"/>
      <c r="J65" s="222"/>
      <c r="K65" s="180"/>
      <c r="M65" s="155"/>
      <c r="N65" s="155"/>
      <c r="O65" s="155"/>
      <c r="P65" s="14"/>
      <c r="Q65" s="113"/>
      <c r="R65" s="113"/>
      <c r="S65" s="113"/>
      <c r="T65" s="113"/>
      <c r="U65" s="113"/>
      <c r="V65" s="113"/>
      <c r="W65" s="113"/>
      <c r="X65" s="113"/>
      <c r="Y65" s="113"/>
      <c r="Z65" s="185">
        <f>SUM(Z6:Z64)</f>
        <v>342448.66000000003</v>
      </c>
    </row>
    <row r="66" spans="1:26" ht="16" thickBot="1" x14ac:dyDescent="0.25">
      <c r="A66" s="186"/>
      <c r="B66" s="187"/>
      <c r="C66" s="188">
        <f>SUM(C6:C65)</f>
        <v>3474</v>
      </c>
      <c r="D66" s="16">
        <f>SUM(D6:D65)</f>
        <v>173700</v>
      </c>
      <c r="E66" s="16">
        <f>SUM(E6:E64)</f>
        <v>148387.5</v>
      </c>
      <c r="F66" s="189"/>
      <c r="G66" s="190"/>
      <c r="H66" s="191"/>
      <c r="I66" s="225">
        <f>SUM(I6:I65)</f>
        <v>13383.49</v>
      </c>
      <c r="J66" s="192">
        <f>SUM(J6:J65)</f>
        <v>12112.02</v>
      </c>
      <c r="K66" s="193"/>
      <c r="L66" s="194"/>
      <c r="M66" s="195">
        <f>SUM(M6:M65)</f>
        <v>160316.51</v>
      </c>
      <c r="N66" s="195">
        <f>SUM(N6:N65)</f>
        <v>136275.48000000001</v>
      </c>
      <c r="O66" s="189"/>
      <c r="P66" s="14"/>
      <c r="Q66" s="113">
        <f>SUM(Q7:Q65)</f>
        <v>50719.170000000006</v>
      </c>
      <c r="R66" s="113"/>
      <c r="S66" s="113">
        <f>SUM(S7:S65)</f>
        <v>0</v>
      </c>
      <c r="T66" s="113">
        <f>SUM(T7:T65)</f>
        <v>-4862.5</v>
      </c>
      <c r="U66" s="113">
        <f>SUM(U7:U65)</f>
        <v>0</v>
      </c>
      <c r="V66" s="113">
        <f>SUM(V7:V65)</f>
        <v>0</v>
      </c>
      <c r="W66" s="196">
        <f>SUM(W6:W65)</f>
        <v>0</v>
      </c>
      <c r="X66" s="14"/>
      <c r="Y66" s="197"/>
      <c r="Z66" s="89"/>
    </row>
    <row r="67" spans="1:26" x14ac:dyDescent="0.2">
      <c r="A67" s="198"/>
      <c r="B67" s="199"/>
      <c r="C67" s="200"/>
      <c r="D67" s="31"/>
      <c r="E67" s="194"/>
      <c r="F67" s="194"/>
      <c r="G67" s="194"/>
      <c r="H67" s="194"/>
      <c r="I67" s="201"/>
      <c r="J67" s="201"/>
      <c r="K67" s="202"/>
      <c r="L67" s="194"/>
      <c r="M67" s="202"/>
      <c r="N67" s="194"/>
      <c r="O67" s="19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89"/>
    </row>
    <row r="68" spans="1:26" x14ac:dyDescent="0.2">
      <c r="A68" s="198"/>
      <c r="B68" s="199"/>
      <c r="C68" s="200"/>
      <c r="D68" s="32"/>
      <c r="E68" s="194"/>
      <c r="F68" s="194"/>
      <c r="G68" s="194"/>
      <c r="H68" s="194"/>
      <c r="I68" s="201"/>
      <c r="J68" s="201"/>
      <c r="K68" s="202"/>
      <c r="L68" s="194"/>
      <c r="M68" s="202"/>
      <c r="N68" s="194"/>
      <c r="O68" s="194"/>
      <c r="P68" s="14"/>
      <c r="Q68" s="14"/>
      <c r="R68" s="14"/>
      <c r="S68" s="14"/>
      <c r="T68" s="14"/>
      <c r="U68" s="14">
        <f>SUM(Q66:U66)</f>
        <v>45856.670000000006</v>
      </c>
      <c r="V68" s="14"/>
      <c r="W68" s="14">
        <f>SUM(Q66:V66)</f>
        <v>45856.670000000006</v>
      </c>
      <c r="X68" s="14"/>
      <c r="Y68" s="14"/>
      <c r="Z68" s="89"/>
    </row>
    <row r="69" spans="1:26" x14ac:dyDescent="0.2">
      <c r="A69" s="198"/>
      <c r="B69" s="199"/>
      <c r="C69" s="200"/>
      <c r="D69" s="32"/>
      <c r="E69" s="194"/>
      <c r="F69" s="194"/>
      <c r="G69" s="194"/>
      <c r="H69" s="194"/>
      <c r="I69" s="201"/>
      <c r="J69" s="201"/>
      <c r="K69" s="202"/>
      <c r="L69" s="194"/>
      <c r="M69" s="202"/>
      <c r="N69" s="194"/>
      <c r="O69" s="194"/>
      <c r="P69" s="203"/>
      <c r="Q69" s="203"/>
      <c r="R69" s="203"/>
      <c r="S69" s="203"/>
      <c r="T69" s="203"/>
      <c r="U69" s="203"/>
      <c r="V69" s="203"/>
      <c r="W69" s="203"/>
      <c r="X69" s="203"/>
      <c r="Y69" s="203"/>
      <c r="Z69" s="89"/>
    </row>
    <row r="70" spans="1:26" x14ac:dyDescent="0.2">
      <c r="D70" s="32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89"/>
    </row>
    <row r="71" spans="1:26" x14ac:dyDescent="0.2">
      <c r="D71" s="32"/>
      <c r="M71" t="s">
        <v>20</v>
      </c>
      <c r="O71" s="14">
        <f>M66</f>
        <v>160316.51</v>
      </c>
      <c r="P71" s="14"/>
      <c r="Q71" s="14"/>
      <c r="R71" s="14"/>
      <c r="S71" s="14">
        <f>SUM(M66:N66)</f>
        <v>296591.99</v>
      </c>
      <c r="T71" s="14"/>
      <c r="U71" s="14"/>
      <c r="V71" s="14"/>
      <c r="W71" s="14"/>
      <c r="X71" s="14"/>
      <c r="Y71" s="14"/>
      <c r="Z71" s="89"/>
    </row>
    <row r="72" spans="1:26" x14ac:dyDescent="0.2">
      <c r="D72" s="32"/>
      <c r="M72" t="s">
        <v>433</v>
      </c>
      <c r="O72" s="14">
        <f>N66</f>
        <v>136275.48000000001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89"/>
    </row>
    <row r="73" spans="1:26" x14ac:dyDescent="0.2">
      <c r="D73" s="32"/>
      <c r="O73" s="206"/>
      <c r="Z73" s="89"/>
    </row>
    <row r="74" spans="1:26" x14ac:dyDescent="0.2">
      <c r="O74" s="14">
        <f>SUM(O71:O73)</f>
        <v>296591.99</v>
      </c>
      <c r="Z74" s="89"/>
    </row>
    <row r="76" spans="1:26" x14ac:dyDescent="0.2">
      <c r="O76" s="14"/>
    </row>
    <row r="77" spans="1:26" x14ac:dyDescent="0.2">
      <c r="O77" s="14">
        <f>W68</f>
        <v>45856.670000000006</v>
      </c>
    </row>
    <row r="79" spans="1:26" x14ac:dyDescent="0.2">
      <c r="D79" s="207"/>
      <c r="N79" s="14"/>
      <c r="O79" s="14"/>
    </row>
    <row r="80" spans="1:26" x14ac:dyDescent="0.2">
      <c r="N80" s="14"/>
      <c r="O80" s="14">
        <f>SUM(O74:O77)</f>
        <v>342448.66</v>
      </c>
    </row>
    <row r="81" spans="14:15" x14ac:dyDescent="0.2">
      <c r="N81" s="14"/>
      <c r="O81" s="14"/>
    </row>
    <row r="82" spans="14:15" x14ac:dyDescent="0.2">
      <c r="N82" s="14"/>
      <c r="O82" s="14"/>
    </row>
    <row r="83" spans="14:15" x14ac:dyDescent="0.2">
      <c r="N83" s="14"/>
      <c r="O83" s="14"/>
    </row>
    <row r="84" spans="14:15" x14ac:dyDescent="0.2">
      <c r="N84" s="14"/>
      <c r="O84" s="14"/>
    </row>
    <row r="85" spans="14:15" x14ac:dyDescent="0.2">
      <c r="N85" s="14"/>
      <c r="O85" s="14"/>
    </row>
    <row r="86" spans="14:15" x14ac:dyDescent="0.2">
      <c r="N86" s="14"/>
      <c r="O86" s="14"/>
    </row>
    <row r="87" spans="14:15" x14ac:dyDescent="0.2">
      <c r="N87" s="14"/>
      <c r="O87" s="14"/>
    </row>
    <row r="88" spans="14:15" x14ac:dyDescent="0.2">
      <c r="N88" s="14"/>
      <c r="O88" s="14"/>
    </row>
    <row r="89" spans="14:15" x14ac:dyDescent="0.2">
      <c r="N89" s="14"/>
      <c r="O89" s="14"/>
    </row>
    <row r="90" spans="14:15" x14ac:dyDescent="0.2">
      <c r="N90" s="14"/>
      <c r="O90" s="14"/>
    </row>
    <row r="91" spans="14:15" x14ac:dyDescent="0.2">
      <c r="N91" s="14"/>
      <c r="O91" s="14"/>
    </row>
  </sheetData>
  <mergeCells count="6">
    <mergeCell ref="T3:V3"/>
    <mergeCell ref="I4:I5"/>
    <mergeCell ref="M4:M5"/>
    <mergeCell ref="B1:C1"/>
    <mergeCell ref="I3:K3"/>
    <mergeCell ref="M3:O3"/>
  </mergeCells>
  <printOptions gridLines="1"/>
  <pageMargins left="0.7" right="0.7" top="0.75" bottom="0.75" header="0.3" footer="0.3"/>
  <pageSetup paperSize="5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Balance Sheet</vt:lpstr>
      <vt:lpstr>Summary Update updated</vt:lpstr>
      <vt:lpstr>PL Budget Mission &amp; Operations</vt:lpstr>
      <vt:lpstr>Camp YTD Budget</vt:lpstr>
      <vt:lpstr>Class Report</vt:lpstr>
      <vt:lpstr>AR 2024</vt:lpstr>
      <vt:lpstr>'AR 2024'!Print_Area</vt:lpstr>
      <vt:lpstr>'Summary Update updated'!Print_Area</vt:lpstr>
      <vt:lpstr>'AR 2024'!Print_Titles</vt:lpstr>
      <vt:lpstr>'Camp YTD Budget'!Print_Titles</vt:lpstr>
      <vt:lpstr>'PL Budget Mission &amp; Operations'!Print_Titles</vt:lpstr>
      <vt:lpstr>'Summary Update updated'!Print_Titles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Bookkeeper</dc:creator>
  <cp:lastModifiedBy>David Ashby</cp:lastModifiedBy>
  <cp:lastPrinted>2023-12-15T16:34:43Z</cp:lastPrinted>
  <dcterms:created xsi:type="dcterms:W3CDTF">2016-03-07T17:13:11Z</dcterms:created>
  <dcterms:modified xsi:type="dcterms:W3CDTF">2024-03-09T16:29:52Z</dcterms:modified>
</cp:coreProperties>
</file>